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workbookProtection workbookPassword="F0CA" lockStructure="1"/>
  <bookViews>
    <workbookView xWindow="-15" yWindow="-15" windowWidth="15420" windowHeight="8250" activeTab="1"/>
  </bookViews>
  <sheets>
    <sheet name="جدول الترتيب" sheetId="3" r:id="rId1"/>
    <sheet name="جدول_المباريات" sheetId="1" r:id="rId2"/>
    <sheet name="مساحة_العمل" sheetId="4" state="hidden" r:id="rId3"/>
    <sheet name="احصائيات" sheetId="7" r:id="rId4"/>
    <sheet name="خصم" sheetId="8" r:id="rId5"/>
    <sheet name="ملاحظات" sheetId="6" r:id="rId6"/>
  </sheets>
  <definedNames>
    <definedName name="_xlnm._FilterDatabase" localSheetId="1" hidden="1">جدول_المباريات!$C$2:$I$384</definedName>
  </definedNames>
  <calcPr calcId="144525"/>
</workbook>
</file>

<file path=xl/calcChain.xml><?xml version="1.0" encoding="utf-8"?>
<calcChain xmlns="http://schemas.openxmlformats.org/spreadsheetml/2006/main">
  <c r="D2" i="4" l="1"/>
  <c r="R20" i="7"/>
  <c r="R23" i="7" s="1"/>
  <c r="R19" i="7"/>
  <c r="R22" i="7" s="1"/>
  <c r="R16" i="7"/>
  <c r="R15" i="7"/>
  <c r="R13" i="7"/>
  <c r="R12" i="7"/>
  <c r="R10" i="7"/>
  <c r="R11" i="7" s="1"/>
  <c r="R9" i="7"/>
  <c r="R7" i="7"/>
  <c r="R6" i="7"/>
  <c r="N5" i="4"/>
  <c r="W24" i="4"/>
  <c r="W23" i="4"/>
  <c r="W22" i="4"/>
  <c r="W21" i="4"/>
  <c r="W20" i="4"/>
  <c r="W19" i="4"/>
  <c r="W18" i="4"/>
  <c r="W17" i="4"/>
  <c r="W16" i="4"/>
  <c r="W15" i="4"/>
  <c r="W14" i="4"/>
  <c r="W13" i="4"/>
  <c r="W12" i="4"/>
  <c r="W11" i="4"/>
  <c r="W10" i="4"/>
  <c r="W9" i="4"/>
  <c r="W8" i="4"/>
  <c r="W7" i="4"/>
  <c r="W6" i="4"/>
  <c r="W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AB24" i="4"/>
  <c r="AA24" i="4"/>
  <c r="Z24" i="4"/>
  <c r="Y24" i="4"/>
  <c r="X24" i="4"/>
  <c r="F24" i="4" s="1"/>
  <c r="S24" i="4"/>
  <c r="R24" i="4"/>
  <c r="Q24" i="4"/>
  <c r="P24" i="4"/>
  <c r="U24" i="4" s="1"/>
  <c r="AB23" i="4"/>
  <c r="AA23" i="4"/>
  <c r="Z23" i="4"/>
  <c r="Y23" i="4"/>
  <c r="X23" i="4"/>
  <c r="F23" i="4" s="1"/>
  <c r="S23" i="4"/>
  <c r="R23" i="4"/>
  <c r="Q23" i="4"/>
  <c r="P23" i="4"/>
  <c r="U23" i="4" s="1"/>
  <c r="AB22" i="4"/>
  <c r="AA22" i="4"/>
  <c r="Z22" i="4"/>
  <c r="Y22" i="4"/>
  <c r="X22" i="4"/>
  <c r="S22" i="4"/>
  <c r="R22" i="4"/>
  <c r="Q22" i="4"/>
  <c r="P22" i="4"/>
  <c r="U22" i="4" s="1"/>
  <c r="AB21" i="4"/>
  <c r="AA21" i="4"/>
  <c r="Z21" i="4"/>
  <c r="Y21" i="4"/>
  <c r="X21" i="4"/>
  <c r="S21" i="4"/>
  <c r="R21" i="4"/>
  <c r="Q21" i="4"/>
  <c r="P21" i="4"/>
  <c r="U21" i="4" s="1"/>
  <c r="AB20" i="4"/>
  <c r="AA20" i="4"/>
  <c r="Z20" i="4"/>
  <c r="Y20" i="4"/>
  <c r="X20" i="4"/>
  <c r="F20" i="4" s="1"/>
  <c r="S20" i="4"/>
  <c r="R20" i="4"/>
  <c r="Q20" i="4"/>
  <c r="P20" i="4"/>
  <c r="U20" i="4" s="1"/>
  <c r="AB19" i="4"/>
  <c r="AA19" i="4"/>
  <c r="Z19" i="4"/>
  <c r="Y19" i="4"/>
  <c r="X19" i="4"/>
  <c r="F19" i="4" s="1"/>
  <c r="S19" i="4"/>
  <c r="R19" i="4"/>
  <c r="Q19" i="4"/>
  <c r="P19" i="4"/>
  <c r="U19" i="4" s="1"/>
  <c r="AB18" i="4"/>
  <c r="AA18" i="4"/>
  <c r="Z18" i="4"/>
  <c r="Y18" i="4"/>
  <c r="X18" i="4"/>
  <c r="F18" i="4" s="1"/>
  <c r="S18" i="4"/>
  <c r="R18" i="4"/>
  <c r="Q18" i="4"/>
  <c r="P18" i="4"/>
  <c r="U18" i="4" s="1"/>
  <c r="AB17" i="4"/>
  <c r="AA17" i="4"/>
  <c r="Z17" i="4"/>
  <c r="Y17" i="4"/>
  <c r="X17" i="4"/>
  <c r="F17" i="4" s="1"/>
  <c r="S17" i="4"/>
  <c r="R17" i="4"/>
  <c r="Q17" i="4"/>
  <c r="P17" i="4"/>
  <c r="U17" i="4" s="1"/>
  <c r="AB16" i="4"/>
  <c r="AA16" i="4"/>
  <c r="Z16" i="4"/>
  <c r="Y16" i="4"/>
  <c r="X16" i="4"/>
  <c r="F16" i="4" s="1"/>
  <c r="S16" i="4"/>
  <c r="R16" i="4"/>
  <c r="Q16" i="4"/>
  <c r="P16" i="4"/>
  <c r="AB15" i="4"/>
  <c r="AA15" i="4"/>
  <c r="Z15" i="4"/>
  <c r="Y15" i="4"/>
  <c r="X15" i="4"/>
  <c r="F15" i="4" s="1"/>
  <c r="S15" i="4"/>
  <c r="R15" i="4"/>
  <c r="Q15" i="4"/>
  <c r="P15" i="4"/>
  <c r="U15" i="4" s="1"/>
  <c r="AB14" i="4"/>
  <c r="AA14" i="4"/>
  <c r="Z14" i="4"/>
  <c r="Y14" i="4"/>
  <c r="X14" i="4"/>
  <c r="F14" i="4" s="1"/>
  <c r="S14" i="4"/>
  <c r="R14" i="4"/>
  <c r="Q14" i="4"/>
  <c r="P14" i="4"/>
  <c r="U14" i="4" s="1"/>
  <c r="AB13" i="4"/>
  <c r="AA13" i="4"/>
  <c r="Z13" i="4"/>
  <c r="Y13" i="4"/>
  <c r="X13" i="4"/>
  <c r="S13" i="4"/>
  <c r="R13" i="4"/>
  <c r="Q13" i="4"/>
  <c r="P13" i="4"/>
  <c r="U13" i="4" s="1"/>
  <c r="AB12" i="4"/>
  <c r="AA12" i="4"/>
  <c r="Z12" i="4"/>
  <c r="Y12" i="4"/>
  <c r="X12" i="4"/>
  <c r="S12" i="4"/>
  <c r="R12" i="4"/>
  <c r="Q12" i="4"/>
  <c r="P12" i="4"/>
  <c r="U12" i="4" s="1"/>
  <c r="AB11" i="4"/>
  <c r="AA11" i="4"/>
  <c r="Z11" i="4"/>
  <c r="Y11" i="4"/>
  <c r="X11" i="4"/>
  <c r="S11" i="4"/>
  <c r="R11" i="4"/>
  <c r="Q11" i="4"/>
  <c r="P11" i="4"/>
  <c r="U11" i="4" s="1"/>
  <c r="AB10" i="4"/>
  <c r="AA10" i="4"/>
  <c r="Z10" i="4"/>
  <c r="Y10" i="4"/>
  <c r="X10" i="4"/>
  <c r="F10" i="4" s="1"/>
  <c r="S10" i="4"/>
  <c r="R10" i="4"/>
  <c r="Q10" i="4"/>
  <c r="P10" i="4"/>
  <c r="U10" i="4" s="1"/>
  <c r="AB9" i="4"/>
  <c r="AA9" i="4"/>
  <c r="Z9" i="4"/>
  <c r="Y9" i="4"/>
  <c r="X9" i="4"/>
  <c r="F9" i="4" s="1"/>
  <c r="S9" i="4"/>
  <c r="R9" i="4"/>
  <c r="Q9" i="4"/>
  <c r="P9" i="4"/>
  <c r="U9" i="4" s="1"/>
  <c r="AB8" i="4"/>
  <c r="AA8" i="4"/>
  <c r="Z8" i="4"/>
  <c r="Y8" i="4"/>
  <c r="X8" i="4"/>
  <c r="S8" i="4"/>
  <c r="R8" i="4"/>
  <c r="Q8" i="4"/>
  <c r="P8" i="4"/>
  <c r="AB7" i="4"/>
  <c r="AA7" i="4"/>
  <c r="Z7" i="4"/>
  <c r="Y7" i="4"/>
  <c r="X7" i="4"/>
  <c r="S7" i="4"/>
  <c r="R7" i="4"/>
  <c r="Q7" i="4"/>
  <c r="P7" i="4"/>
  <c r="U7" i="4" s="1"/>
  <c r="AB6" i="4"/>
  <c r="AA6" i="4"/>
  <c r="Z6" i="4"/>
  <c r="Y6" i="4"/>
  <c r="X6" i="4"/>
  <c r="S6" i="4"/>
  <c r="R6" i="4"/>
  <c r="Q6" i="4"/>
  <c r="P6" i="4"/>
  <c r="U6" i="4" s="1"/>
  <c r="AB5" i="4"/>
  <c r="AA5" i="4"/>
  <c r="Z5" i="4"/>
  <c r="Y5" i="4"/>
  <c r="X5" i="4"/>
  <c r="F5" i="4" s="1"/>
  <c r="S5" i="4"/>
  <c r="R5" i="4"/>
  <c r="Q5" i="4"/>
  <c r="P5" i="4"/>
  <c r="U5" i="4" s="1"/>
  <c r="J24" i="4"/>
  <c r="J23" i="4"/>
  <c r="I22" i="4"/>
  <c r="H22" i="4"/>
  <c r="G22" i="4"/>
  <c r="F22" i="4"/>
  <c r="J21" i="4"/>
  <c r="I21" i="4"/>
  <c r="F21" i="4"/>
  <c r="I20" i="4"/>
  <c r="G18" i="4"/>
  <c r="J16" i="4"/>
  <c r="J15" i="4"/>
  <c r="I17" i="4"/>
  <c r="G15" i="4"/>
  <c r="G14" i="4"/>
  <c r="J9" i="4"/>
  <c r="H23" i="4"/>
  <c r="I24" i="4"/>
  <c r="H24" i="4"/>
  <c r="J11" i="4"/>
  <c r="T23" i="4"/>
  <c r="G23" i="4"/>
  <c r="I23" i="4"/>
  <c r="G24" i="4"/>
  <c r="AD24" i="4"/>
  <c r="T15" i="4"/>
  <c r="T19" i="4"/>
  <c r="T24" i="4"/>
  <c r="T13" i="4"/>
  <c r="AC16" i="4"/>
  <c r="T16" i="4"/>
  <c r="T18" i="4"/>
  <c r="T22" i="4"/>
  <c r="AD23" i="4"/>
  <c r="AC24" i="4"/>
  <c r="AD10" i="4"/>
  <c r="AD22" i="4"/>
  <c r="AC23" i="4"/>
  <c r="E6" i="4"/>
  <c r="AC9" i="4"/>
  <c r="AC14" i="4"/>
  <c r="AD21" i="4"/>
  <c r="AC22" i="4"/>
  <c r="E5" i="4"/>
  <c r="AD18" i="4"/>
  <c r="AC21" i="4"/>
  <c r="D6" i="4"/>
  <c r="D10" i="4"/>
  <c r="F12" i="4"/>
  <c r="D15" i="4"/>
  <c r="E10" i="4"/>
  <c r="E15" i="4"/>
  <c r="E12" i="4"/>
  <c r="E14" i="4"/>
  <c r="E24" i="4"/>
  <c r="E11" i="4"/>
  <c r="E13" i="4"/>
  <c r="D11" i="4"/>
  <c r="D13" i="4"/>
  <c r="D12" i="4"/>
  <c r="D14" i="4"/>
  <c r="D18" i="4"/>
  <c r="E18" i="4"/>
  <c r="E8" i="4"/>
  <c r="D8" i="4"/>
  <c r="E20" i="4"/>
  <c r="D20" i="4"/>
  <c r="E9" i="4"/>
  <c r="D9" i="4"/>
  <c r="D5" i="4"/>
  <c r="D24" i="4"/>
  <c r="E19" i="4"/>
  <c r="D19" i="4"/>
  <c r="E21" i="4"/>
  <c r="D21" i="4"/>
  <c r="E16" i="4"/>
  <c r="D16" i="4"/>
  <c r="E17" i="4"/>
  <c r="D17" i="4"/>
  <c r="D22" i="4"/>
  <c r="E22" i="4"/>
  <c r="E23" i="4"/>
  <c r="D23" i="4"/>
  <c r="E7" i="4"/>
  <c r="D7" i="4"/>
  <c r="R14" i="7" l="1"/>
  <c r="R17" i="7"/>
  <c r="J20" i="4"/>
  <c r="J14" i="4"/>
  <c r="H10" i="4"/>
  <c r="H18" i="4"/>
  <c r="J7" i="4"/>
  <c r="I6" i="4"/>
  <c r="T10" i="4"/>
  <c r="AD14" i="4"/>
  <c r="L14" i="4" s="1"/>
  <c r="AD16" i="4"/>
  <c r="I16" i="4"/>
  <c r="H17" i="4"/>
  <c r="AC18" i="4"/>
  <c r="K18" i="4" s="1"/>
  <c r="G20" i="4"/>
  <c r="AC20" i="4"/>
  <c r="H21" i="4"/>
  <c r="AD20" i="4"/>
  <c r="L20" i="4" s="1"/>
  <c r="T14" i="4"/>
  <c r="K14" i="4" s="1"/>
  <c r="T20" i="4"/>
  <c r="K20" i="4" s="1"/>
  <c r="G19" i="4"/>
  <c r="G21" i="4"/>
  <c r="AD8" i="4"/>
  <c r="AC6" i="4"/>
  <c r="AC10" i="4"/>
  <c r="F8" i="4"/>
  <c r="I8" i="4"/>
  <c r="I12" i="4"/>
  <c r="G13" i="4"/>
  <c r="AD12" i="4"/>
  <c r="L12" i="4" s="1"/>
  <c r="H15" i="4"/>
  <c r="AD15" i="4"/>
  <c r="L15" i="4" s="1"/>
  <c r="AC15" i="4"/>
  <c r="K15" i="4" s="1"/>
  <c r="AC17" i="4"/>
  <c r="H19" i="4"/>
  <c r="J19" i="4"/>
  <c r="T9" i="4"/>
  <c r="K9" i="4" s="1"/>
  <c r="AD19" i="4"/>
  <c r="L19" i="4" s="1"/>
  <c r="I9" i="4"/>
  <c r="T11" i="4"/>
  <c r="I11" i="4"/>
  <c r="I13" i="4"/>
  <c r="H14" i="4"/>
  <c r="T17" i="4"/>
  <c r="K17" i="4" s="1"/>
  <c r="G17" i="4"/>
  <c r="I19" i="4"/>
  <c r="T21" i="4"/>
  <c r="K21" i="4" s="1"/>
  <c r="AC19" i="4"/>
  <c r="K19" i="4" s="1"/>
  <c r="AC11" i="4"/>
  <c r="AD17" i="4"/>
  <c r="L17" i="4" s="1"/>
  <c r="AC13" i="4"/>
  <c r="K13" i="4" s="1"/>
  <c r="T7" i="4"/>
  <c r="H7" i="4"/>
  <c r="AD7" i="4"/>
  <c r="L7" i="4" s="1"/>
  <c r="F7" i="4"/>
  <c r="H6" i="4"/>
  <c r="J6" i="4"/>
  <c r="H8" i="4"/>
  <c r="J8" i="4"/>
  <c r="J12" i="4"/>
  <c r="J22" i="4"/>
  <c r="AC8" i="4"/>
  <c r="H9" i="4"/>
  <c r="G10" i="4"/>
  <c r="AD11" i="4"/>
  <c r="L11" i="4" s="1"/>
  <c r="AC12" i="4"/>
  <c r="AD13" i="4"/>
  <c r="L13" i="4" s="1"/>
  <c r="H13" i="4"/>
  <c r="K16" i="4"/>
  <c r="F13" i="4"/>
  <c r="F11" i="4"/>
  <c r="G11" i="4"/>
  <c r="T8" i="4"/>
  <c r="T6" i="4"/>
  <c r="K6" i="4" s="1"/>
  <c r="AD9" i="4"/>
  <c r="L9" i="4" s="1"/>
  <c r="T12" i="4"/>
  <c r="K12" i="4" s="1"/>
  <c r="G9" i="4"/>
  <c r="H5" i="4"/>
  <c r="G8" i="4"/>
  <c r="I10" i="4"/>
  <c r="G16" i="4"/>
  <c r="I18" i="4"/>
  <c r="K23" i="4"/>
  <c r="G7" i="4"/>
  <c r="I7" i="4"/>
  <c r="U8" i="4"/>
  <c r="AC7" i="4"/>
  <c r="G6" i="4"/>
  <c r="H16" i="4"/>
  <c r="AD5" i="4"/>
  <c r="L5" i="4" s="1"/>
  <c r="I15" i="4"/>
  <c r="T5" i="4"/>
  <c r="AC5" i="4"/>
  <c r="AD6" i="4"/>
  <c r="L6" i="4" s="1"/>
  <c r="J5" i="4"/>
  <c r="J13" i="4"/>
  <c r="J10" i="4"/>
  <c r="U16" i="4"/>
  <c r="F6" i="4"/>
  <c r="L22" i="4"/>
  <c r="L24" i="4"/>
  <c r="J18" i="4"/>
  <c r="K24" i="4"/>
  <c r="G5" i="4"/>
  <c r="H11" i="4"/>
  <c r="I14" i="4"/>
  <c r="L21" i="4"/>
  <c r="R21" i="7"/>
  <c r="R18" i="7" s="1"/>
  <c r="L18" i="4"/>
  <c r="L10" i="4"/>
  <c r="L23" i="4"/>
  <c r="R8" i="7"/>
  <c r="K22" i="4"/>
  <c r="H12" i="4"/>
  <c r="J17" i="4"/>
  <c r="H20" i="4"/>
  <c r="I5" i="4"/>
  <c r="R24" i="7"/>
  <c r="G12" i="4"/>
  <c r="L8" i="4" l="1"/>
  <c r="K7" i="4"/>
  <c r="K10" i="4"/>
  <c r="L16" i="4"/>
  <c r="K11" i="4"/>
  <c r="AJ15" i="4"/>
  <c r="AJ21" i="4"/>
  <c r="K8" i="4"/>
  <c r="AJ11" i="4"/>
  <c r="AJ9" i="4"/>
  <c r="AJ12" i="4"/>
  <c r="AJ17" i="4"/>
  <c r="AJ7" i="4"/>
  <c r="AK22" i="4"/>
  <c r="AJ8" i="4"/>
  <c r="AJ22" i="4"/>
  <c r="AJ13" i="4"/>
  <c r="AJ24" i="4"/>
  <c r="AL6" i="4"/>
  <c r="AI5" i="4"/>
  <c r="AI11" i="4"/>
  <c r="AL16" i="4"/>
  <c r="AI17" i="4"/>
  <c r="AL21" i="4"/>
  <c r="AI15" i="4"/>
  <c r="AL11" i="4"/>
  <c r="AL17" i="4"/>
  <c r="AI14" i="4"/>
  <c r="AL14" i="4"/>
  <c r="AL12" i="4"/>
  <c r="AL5" i="4"/>
  <c r="AL9" i="4"/>
  <c r="AL22" i="4"/>
  <c r="AL19" i="4"/>
  <c r="AI22" i="4"/>
  <c r="AJ23" i="4"/>
  <c r="AL18" i="4"/>
  <c r="AI21" i="4"/>
  <c r="R25" i="7"/>
  <c r="AJ14" i="4"/>
  <c r="AJ16" i="4"/>
  <c r="AJ18" i="4"/>
  <c r="AJ5" i="4"/>
  <c r="AJ20" i="4"/>
  <c r="AJ6" i="4"/>
  <c r="AJ10" i="4"/>
  <c r="AJ19" i="4"/>
  <c r="AI24" i="4"/>
  <c r="AI20" i="4"/>
  <c r="AI16" i="4"/>
  <c r="AL13" i="4"/>
  <c r="AI12" i="4"/>
  <c r="AL23" i="4"/>
  <c r="AI7" i="4"/>
  <c r="AL10" i="4"/>
  <c r="AL7" i="4"/>
  <c r="AL24" i="4"/>
  <c r="AL15" i="4"/>
  <c r="AL20" i="4"/>
  <c r="K5" i="4"/>
  <c r="AI9" i="4"/>
  <c r="AI6" i="4"/>
  <c r="AI8" i="4"/>
  <c r="AI13" i="4"/>
  <c r="AI19" i="4"/>
  <c r="AI23" i="4"/>
  <c r="AI10" i="4"/>
  <c r="AI18" i="4"/>
  <c r="AL8" i="4"/>
  <c r="AK8" i="4"/>
  <c r="AK18" i="4"/>
  <c r="AK10" i="4"/>
  <c r="AK17" i="4"/>
  <c r="AK16" i="4"/>
  <c r="AK11" i="4"/>
  <c r="AH5" i="4"/>
  <c r="AH12" i="4"/>
  <c r="AH15" i="4"/>
  <c r="AH16" i="4"/>
  <c r="AH21" i="4"/>
  <c r="AH24" i="4"/>
  <c r="AH20" i="4"/>
  <c r="AH23" i="4"/>
  <c r="AH19" i="4"/>
  <c r="AH7" i="4"/>
  <c r="AH17" i="4"/>
  <c r="AH9" i="4"/>
  <c r="AH8" i="4"/>
  <c r="AH13" i="4"/>
  <c r="AH11" i="4"/>
  <c r="AH14" i="4"/>
  <c r="AH10" i="4"/>
  <c r="AH22" i="4"/>
  <c r="AK12" i="4"/>
  <c r="AK15" i="4"/>
  <c r="AK23" i="4"/>
  <c r="AK14" i="4"/>
  <c r="AK13" i="4"/>
  <c r="AH18" i="4"/>
  <c r="AK20" i="4"/>
  <c r="AH6" i="4"/>
  <c r="AK19" i="4"/>
  <c r="AK5" i="4"/>
  <c r="AK9" i="4"/>
  <c r="AK6" i="4"/>
  <c r="AK21" i="4"/>
  <c r="AK24" i="4"/>
  <c r="AK7" i="4"/>
  <c r="AE14" i="4" l="1"/>
  <c r="AF14" i="4" s="1"/>
  <c r="AE8" i="4"/>
  <c r="AF8" i="4" s="1"/>
  <c r="AE12" i="4"/>
  <c r="AF12" i="4" s="1"/>
  <c r="AE6" i="4"/>
  <c r="AF6" i="4" s="1"/>
  <c r="AE7" i="4"/>
  <c r="AF7" i="4" s="1"/>
  <c r="AI25" i="4"/>
  <c r="L7" i="7" s="1"/>
  <c r="AL25" i="4"/>
  <c r="AJ25" i="4"/>
  <c r="AE16" i="4"/>
  <c r="AF16" i="4" s="1"/>
  <c r="AE13" i="4"/>
  <c r="AF13" i="4" s="1"/>
  <c r="AE20" i="4"/>
  <c r="AF20" i="4" s="1"/>
  <c r="AE17" i="4"/>
  <c r="AF17" i="4" s="1"/>
  <c r="AE21" i="4"/>
  <c r="AF21" i="4" s="1"/>
  <c r="AE19" i="4"/>
  <c r="AF19" i="4" s="1"/>
  <c r="AE18" i="4"/>
  <c r="AF18" i="4" s="1"/>
  <c r="AE11" i="4"/>
  <c r="AF11" i="4" s="1"/>
  <c r="AE9" i="4"/>
  <c r="AF9" i="4" s="1"/>
  <c r="AE15" i="4"/>
  <c r="AF15" i="4" s="1"/>
  <c r="AE5" i="4"/>
  <c r="AF5" i="4" s="1"/>
  <c r="AE10" i="4"/>
  <c r="AF10" i="4" s="1"/>
  <c r="AE24" i="4"/>
  <c r="AF24" i="4" s="1"/>
  <c r="AE23" i="4"/>
  <c r="AF23" i="4" s="1"/>
  <c r="AE22" i="4"/>
  <c r="AF22" i="4" s="1"/>
  <c r="AK25" i="4"/>
  <c r="AH25" i="4"/>
  <c r="D25" i="7" l="1"/>
  <c r="L9" i="7"/>
  <c r="D17" i="7"/>
  <c r="H14" i="7"/>
  <c r="D24" i="7"/>
  <c r="L23" i="7"/>
  <c r="D22" i="7"/>
  <c r="H16" i="7"/>
  <c r="L5" i="7"/>
  <c r="D8" i="7"/>
  <c r="D15" i="7"/>
  <c r="L17" i="7"/>
  <c r="L22" i="7"/>
  <c r="D21" i="7"/>
  <c r="D23" i="7"/>
  <c r="H15" i="7"/>
  <c r="H17" i="7"/>
  <c r="AG6" i="4"/>
  <c r="AG8" i="4"/>
  <c r="AG16" i="4"/>
  <c r="AG14" i="4"/>
  <c r="AG20" i="4"/>
  <c r="AG19" i="4"/>
  <c r="D6" i="7"/>
  <c r="D5" i="7"/>
  <c r="D14" i="7"/>
  <c r="L6" i="7"/>
  <c r="D13" i="7"/>
  <c r="D16" i="7"/>
  <c r="H13" i="7"/>
  <c r="L21" i="7"/>
  <c r="L25" i="7"/>
  <c r="L13" i="7"/>
  <c r="L14" i="7"/>
  <c r="L15" i="7"/>
  <c r="L16" i="7"/>
  <c r="L8" i="7"/>
  <c r="L24" i="7"/>
  <c r="D9" i="7"/>
  <c r="D7" i="7"/>
  <c r="AG7" i="4"/>
  <c r="AG12" i="4"/>
  <c r="AG11" i="4"/>
  <c r="AG17" i="4"/>
  <c r="AG22" i="4"/>
  <c r="AG18" i="4"/>
  <c r="AG21" i="4"/>
  <c r="AG10" i="4"/>
  <c r="AG24" i="4"/>
  <c r="AG15" i="4"/>
  <c r="AG9" i="4"/>
  <c r="AG23" i="4"/>
  <c r="AG5" i="4"/>
  <c r="AG13" i="4"/>
  <c r="AG25" i="4" l="1"/>
  <c r="K14" i="7" s="1"/>
  <c r="B15" i="3" l="1"/>
  <c r="R15" i="3" s="1"/>
  <c r="C24" i="7"/>
  <c r="K7" i="7"/>
  <c r="B16" i="3"/>
  <c r="Z16" i="3" s="1"/>
  <c r="B17" i="3"/>
  <c r="X17" i="3" s="1"/>
  <c r="G13" i="7"/>
  <c r="C16" i="7"/>
  <c r="C5" i="7"/>
  <c r="B9" i="3"/>
  <c r="T9" i="3" s="1"/>
  <c r="C21" i="7"/>
  <c r="B5" i="3"/>
  <c r="D5" i="3" s="1"/>
  <c r="K8" i="7"/>
  <c r="K6" i="7"/>
  <c r="B6" i="3"/>
  <c r="W6" i="3" s="1"/>
  <c r="K13" i="7"/>
  <c r="C17" i="7"/>
  <c r="B18" i="3"/>
  <c r="C18" i="3" s="1"/>
  <c r="K22" i="7"/>
  <c r="B8" i="3"/>
  <c r="L8" i="3" s="1"/>
  <c r="C23" i="7"/>
  <c r="B20" i="3"/>
  <c r="D20" i="3" s="1"/>
  <c r="B10" i="3"/>
  <c r="L10" i="3" s="1"/>
  <c r="V9" i="3"/>
  <c r="B21" i="3"/>
  <c r="Y21" i="3" s="1"/>
  <c r="K17" i="7"/>
  <c r="G16" i="7"/>
  <c r="G17" i="7"/>
  <c r="G15" i="7"/>
  <c r="B11" i="3"/>
  <c r="U11" i="3" s="1"/>
  <c r="B22" i="3"/>
  <c r="L22" i="3" s="1"/>
  <c r="K9" i="7"/>
  <c r="C9" i="7"/>
  <c r="C8" i="7"/>
  <c r="C7" i="7"/>
  <c r="K25" i="7"/>
  <c r="B7" i="3"/>
  <c r="AB7" i="3" s="1"/>
  <c r="K5" i="7"/>
  <c r="K21" i="7"/>
  <c r="B19" i="3"/>
  <c r="AD19" i="3" s="1"/>
  <c r="C22" i="7"/>
  <c r="T19" i="3"/>
  <c r="K23" i="7"/>
  <c r="C15" i="7"/>
  <c r="B12" i="3"/>
  <c r="AD12" i="3" s="1"/>
  <c r="P11" i="3"/>
  <c r="B23" i="3"/>
  <c r="K23" i="3" s="1"/>
  <c r="B13" i="3"/>
  <c r="Z13" i="3" s="1"/>
  <c r="G14" i="7"/>
  <c r="C14" i="7"/>
  <c r="C13" i="7"/>
  <c r="C25" i="7"/>
  <c r="B24" i="3"/>
  <c r="E24" i="3" s="1"/>
  <c r="B14" i="3"/>
  <c r="C6" i="7"/>
  <c r="K16" i="7"/>
  <c r="K24" i="7"/>
  <c r="K15" i="7"/>
  <c r="C24" i="3"/>
  <c r="AC9" i="3"/>
  <c r="R12" i="3"/>
  <c r="Y11" i="3" l="1"/>
  <c r="W5" i="3"/>
  <c r="H20" i="3"/>
  <c r="N20" i="3"/>
  <c r="D11" i="3"/>
  <c r="E11" i="3"/>
  <c r="I20" i="3"/>
  <c r="S18" i="3"/>
  <c r="N17" i="3"/>
  <c r="X8" i="3"/>
  <c r="S15" i="3"/>
  <c r="W11" i="3"/>
  <c r="D22" i="3"/>
  <c r="R7" i="3"/>
  <c r="AA8" i="3"/>
  <c r="X20" i="3"/>
  <c r="T18" i="3"/>
  <c r="AD9" i="3"/>
  <c r="R5" i="3"/>
  <c r="M17" i="3"/>
  <c r="R8" i="3"/>
  <c r="AA17" i="3"/>
  <c r="P9" i="3"/>
  <c r="T15" i="3"/>
  <c r="K8" i="3"/>
  <c r="F8" i="3"/>
  <c r="W20" i="3"/>
  <c r="U18" i="3"/>
  <c r="E9" i="3"/>
  <c r="Z20" i="3"/>
  <c r="C20" i="3"/>
  <c r="F20" i="3"/>
  <c r="N5" i="3"/>
  <c r="E18" i="3"/>
  <c r="Q18" i="3"/>
  <c r="H5" i="3"/>
  <c r="K5" i="3"/>
  <c r="J17" i="3"/>
  <c r="AC17" i="3"/>
  <c r="C9" i="3"/>
  <c r="AB9" i="3"/>
  <c r="P8" i="3"/>
  <c r="X5" i="3"/>
  <c r="AB15" i="3"/>
  <c r="J9" i="3"/>
  <c r="AD17" i="3"/>
  <c r="K15" i="3"/>
  <c r="H18" i="3"/>
  <c r="AA20" i="3"/>
  <c r="AC8" i="3"/>
  <c r="Z18" i="3"/>
  <c r="D9" i="3"/>
  <c r="G22" i="3"/>
  <c r="W18" i="3"/>
  <c r="S9" i="3"/>
  <c r="G20" i="3"/>
  <c r="S20" i="3"/>
  <c r="R20" i="3"/>
  <c r="AC20" i="3"/>
  <c r="L20" i="3"/>
  <c r="N15" i="3"/>
  <c r="V17" i="3"/>
  <c r="V18" i="3"/>
  <c r="D18" i="3"/>
  <c r="AA5" i="3"/>
  <c r="O17" i="3"/>
  <c r="F5" i="3"/>
  <c r="L5" i="3"/>
  <c r="G5" i="3"/>
  <c r="F17" i="3"/>
  <c r="C17" i="3"/>
  <c r="G17" i="3"/>
  <c r="K17" i="3"/>
  <c r="AC15" i="3"/>
  <c r="Y9" i="3"/>
  <c r="S5" i="3"/>
  <c r="W8" i="3"/>
  <c r="O8" i="3"/>
  <c r="V8" i="3"/>
  <c r="H8" i="3"/>
  <c r="I15" i="3"/>
  <c r="F9" i="3"/>
  <c r="U17" i="3"/>
  <c r="P5" i="3"/>
  <c r="K9" i="3"/>
  <c r="F15" i="3"/>
  <c r="Z15" i="3"/>
  <c r="O20" i="3"/>
  <c r="Z8" i="3"/>
  <c r="M20" i="3"/>
  <c r="K20" i="3"/>
  <c r="V5" i="3"/>
  <c r="S8" i="3"/>
  <c r="X10" i="3"/>
  <c r="AB22" i="3"/>
  <c r="W7" i="3"/>
  <c r="AD11" i="3"/>
  <c r="H11" i="3"/>
  <c r="C11" i="3"/>
  <c r="Z11" i="3"/>
  <c r="AB20" i="3"/>
  <c r="Q20" i="3"/>
  <c r="AD20" i="3"/>
  <c r="J20" i="3"/>
  <c r="V20" i="3"/>
  <c r="U20" i="3"/>
  <c r="G8" i="3"/>
  <c r="N8" i="3"/>
  <c r="Q8" i="3"/>
  <c r="C8" i="3"/>
  <c r="AB8" i="3"/>
  <c r="D8" i="3"/>
  <c r="J8" i="3"/>
  <c r="E8" i="3"/>
  <c r="Y8" i="3"/>
  <c r="M8" i="3"/>
  <c r="AD8" i="3"/>
  <c r="G18" i="3"/>
  <c r="AC18" i="3"/>
  <c r="AB18" i="3"/>
  <c r="O18" i="3"/>
  <c r="AD18" i="3"/>
  <c r="F18" i="3"/>
  <c r="R18" i="3"/>
  <c r="K18" i="3"/>
  <c r="Y18" i="3"/>
  <c r="N18" i="3"/>
  <c r="AA18" i="3"/>
  <c r="X18" i="3"/>
  <c r="L18" i="3"/>
  <c r="M18" i="3"/>
  <c r="AD5" i="3"/>
  <c r="AB5" i="3"/>
  <c r="O5" i="3"/>
  <c r="Y5" i="3"/>
  <c r="C5" i="3"/>
  <c r="I5" i="3"/>
  <c r="Z5" i="3"/>
  <c r="U5" i="3"/>
  <c r="E5" i="3"/>
  <c r="AC5" i="3"/>
  <c r="M5" i="3"/>
  <c r="U9" i="3"/>
  <c r="M9" i="3"/>
  <c r="N9" i="3"/>
  <c r="Q9" i="3"/>
  <c r="I9" i="3"/>
  <c r="R9" i="3"/>
  <c r="G9" i="3"/>
  <c r="Z9" i="3"/>
  <c r="H9" i="3"/>
  <c r="X9" i="3"/>
  <c r="Y17" i="3"/>
  <c r="I17" i="3"/>
  <c r="R17" i="3"/>
  <c r="L17" i="3"/>
  <c r="P17" i="3"/>
  <c r="S17" i="3"/>
  <c r="Z17" i="3"/>
  <c r="Q17" i="3"/>
  <c r="E17" i="3"/>
  <c r="W17" i="3"/>
  <c r="T17" i="3"/>
  <c r="H17" i="3"/>
  <c r="D17" i="3"/>
  <c r="AB17" i="3"/>
  <c r="P15" i="3"/>
  <c r="AD15" i="3"/>
  <c r="D15" i="3"/>
  <c r="X15" i="3"/>
  <c r="L15" i="3"/>
  <c r="E15" i="3"/>
  <c r="Y15" i="3"/>
  <c r="M15" i="3"/>
  <c r="J15" i="3"/>
  <c r="H15" i="3"/>
  <c r="W15" i="3"/>
  <c r="AA15" i="3"/>
  <c r="G15" i="3"/>
  <c r="V15" i="3"/>
  <c r="U15" i="3"/>
  <c r="Q15" i="3"/>
  <c r="O15" i="3"/>
  <c r="C15" i="3"/>
  <c r="U21" i="3"/>
  <c r="AD16" i="3"/>
  <c r="T10" i="3"/>
  <c r="D16" i="3"/>
  <c r="Q11" i="3"/>
  <c r="L6" i="3"/>
  <c r="AC16" i="3"/>
  <c r="H16" i="3"/>
  <c r="Y12" i="3"/>
  <c r="E22" i="3"/>
  <c r="U12" i="3"/>
  <c r="AA7" i="3"/>
  <c r="H21" i="3"/>
  <c r="C6" i="3"/>
  <c r="R10" i="3"/>
  <c r="V16" i="3"/>
  <c r="E16" i="3"/>
  <c r="P10" i="3"/>
  <c r="U6" i="3"/>
  <c r="L12" i="3"/>
  <c r="S21" i="3"/>
  <c r="D21" i="3"/>
  <c r="V12" i="3"/>
  <c r="S13" i="3"/>
  <c r="K22" i="3"/>
  <c r="W21" i="3"/>
  <c r="F16" i="3"/>
  <c r="V6" i="3"/>
  <c r="I16" i="3"/>
  <c r="I10" i="3"/>
  <c r="R16" i="3"/>
  <c r="L16" i="3"/>
  <c r="X16" i="3"/>
  <c r="S16" i="3"/>
  <c r="J16" i="3"/>
  <c r="U16" i="3"/>
  <c r="W16" i="3"/>
  <c r="S22" i="3"/>
  <c r="V22" i="3"/>
  <c r="G12" i="3"/>
  <c r="T12" i="3"/>
  <c r="H12" i="3"/>
  <c r="W12" i="3"/>
  <c r="AB21" i="3"/>
  <c r="M7" i="3"/>
  <c r="C7" i="3"/>
  <c r="AA21" i="3"/>
  <c r="R22" i="3"/>
  <c r="Q16" i="3"/>
  <c r="AA6" i="3"/>
  <c r="M10" i="3"/>
  <c r="R6" i="3"/>
  <c r="T21" i="3"/>
  <c r="I21" i="3"/>
  <c r="AD21" i="3"/>
  <c r="K16" i="3"/>
  <c r="J6" i="3"/>
  <c r="S6" i="3"/>
  <c r="K6" i="3"/>
  <c r="M6" i="3"/>
  <c r="T16" i="3"/>
  <c r="F10" i="3"/>
  <c r="AA10" i="3"/>
  <c r="U10" i="3"/>
  <c r="G6" i="3"/>
  <c r="O6" i="3"/>
  <c r="N16" i="3"/>
  <c r="P16" i="3"/>
  <c r="AB16" i="3"/>
  <c r="C16" i="3"/>
  <c r="M16" i="3"/>
  <c r="Y16" i="3"/>
  <c r="O16" i="3"/>
  <c r="W10" i="3"/>
  <c r="V21" i="3"/>
  <c r="M21" i="3"/>
  <c r="C10" i="3"/>
  <c r="S10" i="3"/>
  <c r="P6" i="3"/>
  <c r="V10" i="3"/>
  <c r="G16" i="3"/>
  <c r="AA16" i="3"/>
  <c r="T11" i="3"/>
  <c r="X11" i="3"/>
  <c r="K11" i="3"/>
  <c r="F11" i="3"/>
  <c r="F21" i="3"/>
  <c r="R21" i="3"/>
  <c r="Q21" i="3"/>
  <c r="C21" i="3"/>
  <c r="K21" i="3"/>
  <c r="G21" i="3"/>
  <c r="H6" i="3"/>
  <c r="E6" i="3"/>
  <c r="Y6" i="3"/>
  <c r="AB6" i="3"/>
  <c r="T6" i="3"/>
  <c r="I6" i="3"/>
  <c r="AD6" i="3"/>
  <c r="N6" i="3"/>
  <c r="H10" i="3"/>
  <c r="Q10" i="3"/>
  <c r="AB10" i="3"/>
  <c r="O10" i="3"/>
  <c r="K10" i="3"/>
  <c r="AD10" i="3"/>
  <c r="Q6" i="3"/>
  <c r="L11" i="3"/>
  <c r="S11" i="3"/>
  <c r="N11" i="3"/>
  <c r="N21" i="3"/>
  <c r="O11" i="3"/>
  <c r="O21" i="3"/>
  <c r="J21" i="3"/>
  <c r="E21" i="3"/>
  <c r="X21" i="3"/>
  <c r="AC11" i="3"/>
  <c r="M11" i="3"/>
  <c r="N10" i="3"/>
  <c r="D10" i="3"/>
  <c r="E10" i="3"/>
  <c r="F6" i="3"/>
  <c r="Z6" i="3"/>
  <c r="AA9" i="3"/>
  <c r="L9" i="3"/>
  <c r="W9" i="3"/>
  <c r="O9" i="3"/>
  <c r="Q5" i="3"/>
  <c r="J5" i="3"/>
  <c r="T5" i="3"/>
  <c r="AC6" i="3"/>
  <c r="D6" i="3"/>
  <c r="X6" i="3"/>
  <c r="J18" i="3"/>
  <c r="I18" i="3"/>
  <c r="P18" i="3"/>
  <c r="J11" i="3"/>
  <c r="Y10" i="3"/>
  <c r="I8" i="3"/>
  <c r="T8" i="3"/>
  <c r="U8" i="3"/>
  <c r="T20" i="3"/>
  <c r="E20" i="3"/>
  <c r="P20" i="3"/>
  <c r="Y20" i="3"/>
  <c r="AC10" i="3"/>
  <c r="J10" i="3"/>
  <c r="Z10" i="3"/>
  <c r="G10" i="3"/>
  <c r="AA23" i="3"/>
  <c r="AA19" i="3"/>
  <c r="K19" i="3"/>
  <c r="F7" i="3"/>
  <c r="V7" i="3"/>
  <c r="AD7" i="3"/>
  <c r="AC21" i="3"/>
  <c r="L21" i="3"/>
  <c r="P21" i="3"/>
  <c r="Z21" i="3"/>
  <c r="V19" i="3"/>
  <c r="R11" i="3"/>
  <c r="AA11" i="3"/>
  <c r="G11" i="3"/>
  <c r="I11" i="3"/>
  <c r="AB11" i="3"/>
  <c r="V11" i="3"/>
  <c r="E7" i="3"/>
  <c r="AD22" i="3"/>
  <c r="U7" i="3"/>
  <c r="X22" i="3"/>
  <c r="Q22" i="3"/>
  <c r="D7" i="3"/>
  <c r="T22" i="3"/>
  <c r="C22" i="3"/>
  <c r="Y7" i="3"/>
  <c r="H19" i="3"/>
  <c r="X7" i="3"/>
  <c r="S7" i="3"/>
  <c r="M22" i="3"/>
  <c r="N7" i="3"/>
  <c r="O22" i="3"/>
  <c r="J7" i="3"/>
  <c r="W22" i="3"/>
  <c r="I7" i="3"/>
  <c r="F22" i="3"/>
  <c r="P22" i="3"/>
  <c r="N22" i="3"/>
  <c r="U22" i="3"/>
  <c r="I22" i="3"/>
  <c r="AC22" i="3"/>
  <c r="AA22" i="3"/>
  <c r="Y22" i="3"/>
  <c r="J22" i="3"/>
  <c r="H22" i="3"/>
  <c r="Z22" i="3"/>
  <c r="K7" i="3"/>
  <c r="Z7" i="3"/>
  <c r="T7" i="3"/>
  <c r="H7" i="3"/>
  <c r="P7" i="3"/>
  <c r="O7" i="3"/>
  <c r="L7" i="3"/>
  <c r="G7" i="3"/>
  <c r="AC7" i="3"/>
  <c r="Q7" i="3"/>
  <c r="U19" i="3"/>
  <c r="O19" i="3"/>
  <c r="P19" i="3"/>
  <c r="J19" i="3"/>
  <c r="AC19" i="3"/>
  <c r="Y19" i="3"/>
  <c r="W19" i="3"/>
  <c r="M19" i="3"/>
  <c r="C19" i="3"/>
  <c r="Q19" i="3"/>
  <c r="E19" i="3"/>
  <c r="L19" i="3"/>
  <c r="I19" i="3"/>
  <c r="AB19" i="3"/>
  <c r="G19" i="3"/>
  <c r="R19" i="3"/>
  <c r="F19" i="3"/>
  <c r="S19" i="3"/>
  <c r="D19" i="3"/>
  <c r="X19" i="3"/>
  <c r="Z19" i="3"/>
  <c r="N19" i="3"/>
  <c r="E12" i="3"/>
  <c r="F12" i="3"/>
  <c r="Z12" i="3"/>
  <c r="N12" i="3"/>
  <c r="D12" i="3"/>
  <c r="J12" i="3"/>
  <c r="H24" i="3"/>
  <c r="X12" i="3"/>
  <c r="S12" i="3"/>
  <c r="Q12" i="3"/>
  <c r="C12" i="3"/>
  <c r="AB12" i="3"/>
  <c r="I12" i="3"/>
  <c r="AC12" i="3"/>
  <c r="AA12" i="3"/>
  <c r="M12" i="3"/>
  <c r="P12" i="3"/>
  <c r="K12" i="3"/>
  <c r="O12" i="3"/>
  <c r="U23" i="3"/>
  <c r="T23" i="3"/>
  <c r="E23" i="3"/>
  <c r="V23" i="3"/>
  <c r="H23" i="3"/>
  <c r="AB23" i="3"/>
  <c r="W23" i="3"/>
  <c r="Q23" i="3"/>
  <c r="Y23" i="3"/>
  <c r="S23" i="3"/>
  <c r="C23" i="3"/>
  <c r="R23" i="3"/>
  <c r="X23" i="3"/>
  <c r="Z23" i="3"/>
  <c r="O23" i="3"/>
  <c r="I23" i="3"/>
  <c r="J23" i="3"/>
  <c r="AC23" i="3"/>
  <c r="AD23" i="3"/>
  <c r="P23" i="3"/>
  <c r="D23" i="3"/>
  <c r="F23" i="3"/>
  <c r="M23" i="3"/>
  <c r="N23" i="3"/>
  <c r="L23" i="3"/>
  <c r="G23" i="3"/>
  <c r="AC13" i="3"/>
  <c r="P13" i="3"/>
  <c r="Q13" i="3"/>
  <c r="G13" i="3"/>
  <c r="F13" i="3"/>
  <c r="E13" i="3"/>
  <c r="Y13" i="3"/>
  <c r="C13" i="3"/>
  <c r="AD13" i="3"/>
  <c r="R13" i="3"/>
  <c r="W13" i="3"/>
  <c r="I13" i="3"/>
  <c r="K13" i="3"/>
  <c r="O13" i="3"/>
  <c r="J13" i="3"/>
  <c r="T13" i="3"/>
  <c r="N13" i="3"/>
  <c r="AB13" i="3"/>
  <c r="H13" i="3"/>
  <c r="AA13" i="3"/>
  <c r="V13" i="3"/>
  <c r="X13" i="3"/>
  <c r="L13" i="3"/>
  <c r="M13" i="3"/>
  <c r="D13" i="3"/>
  <c r="U13" i="3"/>
  <c r="O24" i="3"/>
  <c r="Y24" i="3"/>
  <c r="X24" i="3"/>
  <c r="V24" i="3"/>
  <c r="W24" i="3"/>
  <c r="M24" i="3"/>
  <c r="D24" i="3"/>
  <c r="I24" i="3"/>
  <c r="Z24" i="3"/>
  <c r="Q24" i="3"/>
  <c r="S24" i="3"/>
  <c r="AC24" i="3"/>
  <c r="N24" i="3"/>
  <c r="AB24" i="3"/>
  <c r="R24" i="3"/>
  <c r="L24" i="3"/>
  <c r="P24" i="3"/>
  <c r="J24" i="3"/>
  <c r="K24" i="3"/>
  <c r="AD24" i="3"/>
  <c r="G24" i="3"/>
  <c r="AA24" i="3"/>
  <c r="U24" i="3"/>
  <c r="F24" i="3"/>
  <c r="T24" i="3"/>
  <c r="C14" i="3"/>
  <c r="M14" i="3"/>
  <c r="D14" i="3"/>
  <c r="Y14" i="3"/>
  <c r="S14" i="3"/>
  <c r="AC14" i="3"/>
  <c r="Q14" i="3"/>
  <c r="H14" i="3"/>
  <c r="J14" i="3"/>
  <c r="F14" i="3"/>
  <c r="P14" i="3"/>
  <c r="O14" i="3"/>
  <c r="AB14" i="3"/>
  <c r="E14" i="3"/>
  <c r="X14" i="3"/>
  <c r="G14" i="3"/>
  <c r="AD14" i="3"/>
  <c r="V14" i="3"/>
  <c r="L14" i="3"/>
  <c r="W14" i="3"/>
  <c r="T14" i="3"/>
  <c r="R14" i="3"/>
  <c r="K14" i="3"/>
  <c r="N14" i="3"/>
  <c r="U14" i="3"/>
  <c r="I14" i="3"/>
  <c r="Z14" i="3"/>
  <c r="AA14" i="3"/>
</calcChain>
</file>

<file path=xl/sharedStrings.xml><?xml version="1.0" encoding="utf-8"?>
<sst xmlns="http://schemas.openxmlformats.org/spreadsheetml/2006/main" count="993" uniqueCount="166">
  <si>
    <t>النتيجة</t>
  </si>
  <si>
    <t>الترتيب</t>
  </si>
  <si>
    <t>لعب</t>
  </si>
  <si>
    <t>فاز</t>
  </si>
  <si>
    <t>تعادل</t>
  </si>
  <si>
    <t>له</t>
  </si>
  <si>
    <t>عليه</t>
  </si>
  <si>
    <t>الفرق</t>
  </si>
  <si>
    <t>المركز</t>
  </si>
  <si>
    <t>الاسبوع الاول</t>
  </si>
  <si>
    <t>الاسبوع الثاني</t>
  </si>
  <si>
    <t>ريال مدريد</t>
  </si>
  <si>
    <t>ديبرتيفو لاكرونيا</t>
  </si>
  <si>
    <t>ملقا</t>
  </si>
  <si>
    <t>اتلتيكو مدريد</t>
  </si>
  <si>
    <t>فالنسيا</t>
  </si>
  <si>
    <t>اشبيلية</t>
  </si>
  <si>
    <t>الميريا</t>
  </si>
  <si>
    <t>خيتافي</t>
  </si>
  <si>
    <t>اتلتيك بلباو</t>
  </si>
  <si>
    <t>اسبانيول</t>
  </si>
  <si>
    <t>اوساسونا</t>
  </si>
  <si>
    <t>فياريال</t>
  </si>
  <si>
    <t>ريال سرقسطة</t>
  </si>
  <si>
    <t>مايوركا</t>
  </si>
  <si>
    <t>برشلونة</t>
  </si>
  <si>
    <t>خيخون</t>
  </si>
  <si>
    <t>رايسنغ سانتاندر</t>
  </si>
  <si>
    <t>الاسبوع الثالث</t>
  </si>
  <si>
    <t>الاسبوع الرابع</t>
  </si>
  <si>
    <t>الاسبوع الخامس</t>
  </si>
  <si>
    <t>الاسبوع السادس</t>
  </si>
  <si>
    <t>الاسبوع السابع</t>
  </si>
  <si>
    <t>الاسبوع الثامن</t>
  </si>
  <si>
    <t>الاسبوع التاسع</t>
  </si>
  <si>
    <t>الاسبوع العاشر</t>
  </si>
  <si>
    <t>الاسبوع الحادي عشر</t>
  </si>
  <si>
    <t>الاسبوع الثاني عشر</t>
  </si>
  <si>
    <t>الاسبوع الثالث عشر</t>
  </si>
  <si>
    <t>الاسبوع الرابع عشر</t>
  </si>
  <si>
    <t>الاسبوع الخامس عشر</t>
  </si>
  <si>
    <t>الاسبوع السادس عشر</t>
  </si>
  <si>
    <t>الاسبوع السابع عشر</t>
  </si>
  <si>
    <t>الاسبوع الثامن عشر</t>
  </si>
  <si>
    <t>الاسبوع التاسع عشر</t>
  </si>
  <si>
    <t>الاسبوع العشرون</t>
  </si>
  <si>
    <t>الاسبوع الثامن والثلاثون</t>
  </si>
  <si>
    <t>الاسبوع السابع والثلاثون</t>
  </si>
  <si>
    <t>الاسبوع السادس والثلاثون</t>
  </si>
  <si>
    <t>الاسبوع الخامس والثلاثون</t>
  </si>
  <si>
    <t>الاسبوع الثلاثون</t>
  </si>
  <si>
    <t>الاسبوع الحادي والثلاثون</t>
  </si>
  <si>
    <t>الاسبوع الثاني والثلاثون</t>
  </si>
  <si>
    <t>الاسبوع الثالث والثلاثون</t>
  </si>
  <si>
    <t>الاسبوع الرابع والثلاثون</t>
  </si>
  <si>
    <t>الاسبوع التاسع والعشرون</t>
  </si>
  <si>
    <t>الاسبوع الثامن والعشرون</t>
  </si>
  <si>
    <t>الاسبوع السابع والعشرون</t>
  </si>
  <si>
    <t>الاسبوع السادس والعشرون</t>
  </si>
  <si>
    <t>الاسبوع الخامس والعشرون</t>
  </si>
  <si>
    <t>الاسبوع الرابع والعشرون</t>
  </si>
  <si>
    <t>الاسبوع الثالث والعشرون</t>
  </si>
  <si>
    <t>الاسبوع الثاني والعشرون</t>
  </si>
  <si>
    <t>الاسبوع الحادي والعشرون</t>
  </si>
  <si>
    <t>الدور الثاني</t>
  </si>
  <si>
    <t>الفريق</t>
  </si>
  <si>
    <t>معادلة الفرق</t>
  </si>
  <si>
    <t>نقاط</t>
  </si>
  <si>
    <t xml:space="preserve">روابط مفيدة </t>
  </si>
  <si>
    <t>www.hihi2.com</t>
  </si>
  <si>
    <t>T</t>
  </si>
  <si>
    <t>متبقي</t>
  </si>
  <si>
    <t>هزيمة</t>
  </si>
  <si>
    <t>فرق</t>
  </si>
  <si>
    <t>في ارضه</t>
  </si>
  <si>
    <t>خارج ارضه</t>
  </si>
  <si>
    <t>مباريات في ارضه</t>
  </si>
  <si>
    <t>مباريات خارج ارضه</t>
  </si>
  <si>
    <t>أسوأ دفاع</t>
  </si>
  <si>
    <t>أسوأ هجوم</t>
  </si>
  <si>
    <t>أفضل هجوم</t>
  </si>
  <si>
    <t>أفضل دفاع</t>
  </si>
  <si>
    <t>الأكثر تعادل</t>
  </si>
  <si>
    <t>الأكثر هزيمة</t>
  </si>
  <si>
    <t>الأكثر فوزاً</t>
  </si>
  <si>
    <t>يتأهل تلقائياً الى دوري الابطال</t>
  </si>
  <si>
    <t>يتأهل الى ملحق دوري الابطال</t>
  </si>
  <si>
    <t>يتأهل الى كأس الدوري الاوروبي</t>
  </si>
  <si>
    <t xml:space="preserve">   تم إعداد هذا الملف بواسطة موقع هاي كورة </t>
  </si>
  <si>
    <t xml:space="preserve">أقوى مصدر للأخبار العالمية والعربية في كرة القدم </t>
  </si>
  <si>
    <t>منتدى الدوري الأسباني</t>
  </si>
  <si>
    <t>أخبار الدوري الأسباني يومياً</t>
  </si>
  <si>
    <t>أهداف الدوري الأسباني</t>
  </si>
  <si>
    <t>ولتحميل أحدث نسخة من الملف يمكنك الذهاب إلى هذه الصفحة</t>
  </si>
  <si>
    <t>التاريخ</t>
  </si>
  <si>
    <t>الاسبوع</t>
  </si>
  <si>
    <t>R</t>
  </si>
  <si>
    <t>احصائيات مباريات الدوري</t>
  </si>
  <si>
    <t>مباريات انتهت بالتعادل السلبي في الدور الاول</t>
  </si>
  <si>
    <t>مباريات انتهت بالتعادل السلبي في الدور الثاني</t>
  </si>
  <si>
    <t xml:space="preserve">مباريات انتهت بالتعادل السلبي كامل الموسم </t>
  </si>
  <si>
    <t>مباريات انتهت بالتعادل الايجابي في الدور الاول</t>
  </si>
  <si>
    <t>مباريات انتهت بالتعادل الايجابي في الدور الثاني</t>
  </si>
  <si>
    <t xml:space="preserve">مباريات انتهت بالتعادل الايجابي كامل الموسم </t>
  </si>
  <si>
    <t>مباريات انتهت بالفوز في الدور الاول</t>
  </si>
  <si>
    <t>مباريات انتهت بالفوز في الدور الثاني</t>
  </si>
  <si>
    <t>مباريات انتهت بالفوز في كامل الموسم</t>
  </si>
  <si>
    <t>عدد الاهداف الاجمالية في الدور الاول</t>
  </si>
  <si>
    <t>عدد الاهداف الاجمالية في الدور الثاني</t>
  </si>
  <si>
    <t>عدد الاهداف الاجمالية في كامل الموسم</t>
  </si>
  <si>
    <t>عدد مباريات الدور الاول التي لعبت</t>
  </si>
  <si>
    <t>عدد مباريات الدور الثاني التي لعبت</t>
  </si>
  <si>
    <t>عدد مباريات الدوري الاجمالية التي لعبت</t>
  </si>
  <si>
    <t>عدد مباريات الدور الاول التي لم تلعب بعد</t>
  </si>
  <si>
    <t>عدد مباريات الدور الثاني التي لم تلعب بعد</t>
  </si>
  <si>
    <t>عدد مباريات الدوري الاجمالية التي لم  تلعب بعد</t>
  </si>
  <si>
    <t>عدد مباريات الدوري الاجمالية</t>
  </si>
  <si>
    <t>نسبة الاهداف المسجلة</t>
  </si>
  <si>
    <t>النادي</t>
  </si>
  <si>
    <t>نقاط مخصومة</t>
  </si>
  <si>
    <t>إحصائيات الدوري الأسباني للموسم 2010 - 2011 م</t>
  </si>
  <si>
    <t>هيركوليس</t>
  </si>
  <si>
    <t>ليفانتي</t>
  </si>
  <si>
    <t>ريال سوسيداد</t>
  </si>
  <si>
    <t>28-29/08/2010</t>
  </si>
  <si>
    <t>11-12/09/2010</t>
  </si>
  <si>
    <t>18-19/09/2010</t>
  </si>
  <si>
    <t>21-22/09/2010</t>
  </si>
  <si>
    <t>25-26/09/2010</t>
  </si>
  <si>
    <t>02-03/10/2010</t>
  </si>
  <si>
    <t>16-17/10/2010</t>
  </si>
  <si>
    <t>23-24/10/2010</t>
  </si>
  <si>
    <t>30-31/10/2010</t>
  </si>
  <si>
    <t>06-07/11/2010</t>
  </si>
  <si>
    <t>13-14/11/2010</t>
  </si>
  <si>
    <t>20-21/11/2010</t>
  </si>
  <si>
    <t>27-28/11/2010</t>
  </si>
  <si>
    <t>04-05/12/2010</t>
  </si>
  <si>
    <t>11-12/12/2010</t>
  </si>
  <si>
    <t>18-19/12/2010</t>
  </si>
  <si>
    <t>02-03/01/2011</t>
  </si>
  <si>
    <t>08-09/01/2011</t>
  </si>
  <si>
    <t>15-16/01/2011</t>
  </si>
  <si>
    <t>22-23/01/2011</t>
  </si>
  <si>
    <t>29-30/01/2011</t>
  </si>
  <si>
    <t>05-06/02/2011</t>
  </si>
  <si>
    <t>12-13/02/2011</t>
  </si>
  <si>
    <t>19-20/02/2011</t>
  </si>
  <si>
    <t>26-27/02/2011</t>
  </si>
  <si>
    <t>05-06/03/2011</t>
  </si>
  <si>
    <t>01-02/03/2011</t>
  </si>
  <si>
    <t>12-13/03/2011</t>
  </si>
  <si>
    <t>19-20/03/2011</t>
  </si>
  <si>
    <t>02-03/04/2011</t>
  </si>
  <si>
    <t>09-10/04/2011</t>
  </si>
  <si>
    <t>16-17/04/2011</t>
  </si>
  <si>
    <t>23-24/04/2011</t>
  </si>
  <si>
    <t>30/04/2011-01/05/2011</t>
  </si>
  <si>
    <t>07-08/05/2011</t>
  </si>
  <si>
    <t>10-11/05/2011</t>
  </si>
  <si>
    <t>14-15/05/2011</t>
  </si>
  <si>
    <t>21-22/05/2011</t>
  </si>
  <si>
    <t>ملاحظة :  يستخدم هذا الجدول لإدخال عدد النقاط التي سوف تخصم من النادي في حالة وجود عقوبات على النادي أو ما شابه ذلك</t>
  </si>
  <si>
    <t>http://www.hihi2.com/downloads-action-listdownloads-id-1.htm</t>
  </si>
  <si>
    <t>في حالة وجود أي ملاحظات على الملف الرجاء مراسلتنا من خلال موقعنا</t>
  </si>
  <si>
    <r>
      <t xml:space="preserve">جدول الترتيب العام للدوري الاسباني لموسم 2010-2011 م       إعداد - موقع هاي كورة   </t>
    </r>
    <r>
      <rPr>
        <b/>
        <sz val="13.5"/>
        <color indexed="51"/>
        <rFont val="Times New Roman"/>
        <family val="1"/>
      </rPr>
      <t>www.hihi2.com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</si>
</sst>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0"/>
      <name val="Arial"/>
      <charset val="178"/>
    </font>
    <font>
      <sz val="8"/>
      <name val="Arial"/>
      <family val="2"/>
    </font>
    <font>
      <sz val="12"/>
      <name val="Arial"/>
      <family val="2"/>
    </font>
    <font>
      <sz val="10"/>
      <name val="Simplified Arabic"/>
      <charset val="178"/>
    </font>
    <font>
      <sz val="18"/>
      <name val="Simplified Arabic"/>
      <charset val="178"/>
    </font>
    <font>
      <sz val="10"/>
      <name val="Arial"/>
      <family val="2"/>
    </font>
    <font>
      <sz val="14"/>
      <name val="Arial"/>
      <family val="2"/>
    </font>
    <font>
      <sz val="14"/>
      <name val="Mudir MT"/>
      <charset val="178"/>
    </font>
    <font>
      <sz val="10"/>
      <name val="Mudir MT"/>
      <charset val="178"/>
    </font>
    <font>
      <sz val="8"/>
      <name val="Mudir MT"/>
      <charset val="178"/>
    </font>
    <font>
      <sz val="10"/>
      <name val="Tahoma"/>
      <family val="2"/>
    </font>
    <font>
      <sz val="14"/>
      <name val="Tahoma"/>
      <family val="2"/>
    </font>
    <font>
      <sz val="11"/>
      <name val="Tahoma"/>
      <family val="2"/>
    </font>
    <font>
      <sz val="14"/>
      <name val="Arabic Transparent"/>
      <charset val="178"/>
    </font>
    <font>
      <b/>
      <sz val="11"/>
      <color indexed="58"/>
      <name val="Arial"/>
      <family val="2"/>
    </font>
    <font>
      <b/>
      <sz val="13.5"/>
      <color indexed="51"/>
      <name val="Times New Roman"/>
      <family val="1"/>
    </font>
    <font>
      <u/>
      <sz val="10"/>
      <color theme="10"/>
      <name val="Arial"/>
      <family val="2"/>
    </font>
    <font>
      <u/>
      <sz val="20"/>
      <color theme="10"/>
      <name val="Arial"/>
      <family val="2"/>
    </font>
    <font>
      <u/>
      <sz val="18"/>
      <color theme="10"/>
      <name val="Arial"/>
      <family val="2"/>
    </font>
    <font>
      <sz val="12"/>
      <color theme="0"/>
      <name val="Arial"/>
      <family val="2"/>
    </font>
    <font>
      <sz val="16"/>
      <color rgb="FFFF000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u/>
      <sz val="16"/>
      <color theme="10"/>
      <name val="Arial"/>
      <family val="2"/>
    </font>
    <font>
      <b/>
      <sz val="10"/>
      <color theme="0"/>
      <name val="Simplified Arabic"/>
      <charset val="178"/>
    </font>
    <font>
      <sz val="14"/>
      <color theme="0"/>
      <name val="Arabic Transparent"/>
      <charset val="178"/>
    </font>
    <font>
      <sz val="10"/>
      <color theme="0"/>
      <name val="Arial"/>
      <family val="2"/>
    </font>
    <font>
      <b/>
      <sz val="13.5"/>
      <color theme="9" tint="0.59999389629810485"/>
      <name val="Monotype Koufi"/>
      <charset val="178"/>
    </font>
    <font>
      <sz val="18"/>
      <color theme="0"/>
      <name val="Simplified Arabic"/>
      <charset val="178"/>
    </font>
    <font>
      <b/>
      <sz val="10"/>
      <color theme="0"/>
      <name val="Tahoma"/>
      <family val="2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339966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center"/>
    </xf>
    <xf numFmtId="0" fontId="17" fillId="0" borderId="0" xfId="1" applyFont="1" applyAlignment="1" applyProtection="1">
      <alignment horizontal="center"/>
    </xf>
    <xf numFmtId="0" fontId="18" fillId="0" borderId="0" xfId="1" applyFont="1" applyAlignment="1" applyProtection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Protection="1"/>
    <xf numFmtId="0" fontId="2" fillId="0" borderId="4" xfId="0" applyFont="1" applyBorder="1" applyProtection="1"/>
    <xf numFmtId="0" fontId="19" fillId="0" borderId="0" xfId="0" applyFont="1" applyProtection="1"/>
    <xf numFmtId="0" fontId="20" fillId="0" borderId="0" xfId="0" applyFont="1"/>
    <xf numFmtId="0" fontId="21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3" fillId="0" borderId="0" xfId="1" applyFont="1" applyAlignment="1" applyProtection="1">
      <alignment horizontal="center"/>
    </xf>
    <xf numFmtId="0" fontId="24" fillId="11" borderId="5" xfId="0" applyFont="1" applyFill="1" applyBorder="1" applyAlignment="1" applyProtection="1">
      <alignment horizontal="center" vertical="center"/>
    </xf>
    <xf numFmtId="0" fontId="3" fillId="12" borderId="6" xfId="0" applyFont="1" applyFill="1" applyBorder="1" applyAlignment="1" applyProtection="1">
      <alignment horizontal="center" vertical="center"/>
    </xf>
    <xf numFmtId="0" fontId="3" fillId="12" borderId="7" xfId="0" applyFont="1" applyFill="1" applyBorder="1" applyAlignment="1" applyProtection="1">
      <alignment horizontal="center" vertical="center"/>
    </xf>
    <xf numFmtId="0" fontId="3" fillId="12" borderId="8" xfId="0" applyFont="1" applyFill="1" applyBorder="1" applyAlignment="1" applyProtection="1">
      <alignment horizontal="center" vertical="center"/>
    </xf>
    <xf numFmtId="0" fontId="3" fillId="12" borderId="9" xfId="0" applyFont="1" applyFill="1" applyBorder="1" applyAlignment="1" applyProtection="1">
      <alignment horizontal="center" vertical="center"/>
    </xf>
    <xf numFmtId="0" fontId="3" fillId="12" borderId="10" xfId="0" applyFont="1" applyFill="1" applyBorder="1" applyAlignment="1" applyProtection="1">
      <alignment horizontal="center" vertical="center"/>
    </xf>
    <xf numFmtId="0" fontId="3" fillId="12" borderId="11" xfId="0" applyFont="1" applyFill="1" applyBorder="1" applyAlignment="1" applyProtection="1">
      <alignment horizontal="center" vertical="center"/>
    </xf>
    <xf numFmtId="0" fontId="3" fillId="13" borderId="12" xfId="0" applyFont="1" applyFill="1" applyBorder="1" applyAlignment="1" applyProtection="1">
      <alignment horizontal="center" vertical="center"/>
    </xf>
    <xf numFmtId="0" fontId="3" fillId="13" borderId="7" xfId="0" applyFont="1" applyFill="1" applyBorder="1" applyAlignment="1" applyProtection="1">
      <alignment horizontal="center" vertical="center"/>
    </xf>
    <xf numFmtId="0" fontId="3" fillId="13" borderId="13" xfId="0" applyFont="1" applyFill="1" applyBorder="1" applyAlignment="1" applyProtection="1">
      <alignment horizontal="center" vertical="center"/>
    </xf>
    <xf numFmtId="0" fontId="3" fillId="13" borderId="9" xfId="0" applyFont="1" applyFill="1" applyBorder="1" applyAlignment="1" applyProtection="1">
      <alignment horizontal="center" vertical="center"/>
    </xf>
    <xf numFmtId="0" fontId="3" fillId="13" borderId="14" xfId="0" applyFont="1" applyFill="1" applyBorder="1" applyAlignment="1" applyProtection="1">
      <alignment horizontal="center" vertical="center"/>
    </xf>
    <xf numFmtId="0" fontId="3" fillId="13" borderId="11" xfId="0" applyFont="1" applyFill="1" applyBorder="1" applyAlignment="1" applyProtection="1">
      <alignment horizontal="center" vertical="center"/>
    </xf>
    <xf numFmtId="0" fontId="3" fillId="14" borderId="15" xfId="0" applyFont="1" applyFill="1" applyBorder="1" applyAlignment="1" applyProtection="1">
      <alignment horizontal="center" vertical="center"/>
      <protection locked="0"/>
    </xf>
    <xf numFmtId="0" fontId="3" fillId="14" borderId="16" xfId="0" applyFont="1" applyFill="1" applyBorder="1" applyAlignment="1" applyProtection="1">
      <alignment horizontal="center" vertical="center"/>
      <protection locked="0"/>
    </xf>
    <xf numFmtId="0" fontId="3" fillId="14" borderId="17" xfId="0" applyFont="1" applyFill="1" applyBorder="1" applyAlignment="1" applyProtection="1">
      <alignment horizontal="center" vertical="center"/>
      <protection locked="0"/>
    </xf>
    <xf numFmtId="0" fontId="3" fillId="14" borderId="18" xfId="0" applyFont="1" applyFill="1" applyBorder="1" applyAlignment="1" applyProtection="1">
      <alignment horizontal="center" vertical="center"/>
      <protection locked="0"/>
    </xf>
    <xf numFmtId="0" fontId="3" fillId="14" borderId="19" xfId="0" applyFont="1" applyFill="1" applyBorder="1" applyAlignment="1" applyProtection="1">
      <alignment horizontal="center" vertical="center"/>
      <protection locked="0"/>
    </xf>
    <xf numFmtId="0" fontId="4" fillId="11" borderId="20" xfId="0" applyFont="1" applyFill="1" applyBorder="1" applyAlignment="1" applyProtection="1">
      <alignment vertical="center"/>
    </xf>
    <xf numFmtId="0" fontId="4" fillId="11" borderId="21" xfId="0" applyFont="1" applyFill="1" applyBorder="1" applyAlignment="1" applyProtection="1">
      <alignment vertical="center"/>
    </xf>
    <xf numFmtId="0" fontId="4" fillId="11" borderId="22" xfId="0" applyFont="1" applyFill="1" applyBorder="1" applyAlignment="1" applyProtection="1">
      <alignment vertical="center"/>
    </xf>
    <xf numFmtId="0" fontId="4" fillId="11" borderId="23" xfId="0" applyFont="1" applyFill="1" applyBorder="1" applyAlignment="1" applyProtection="1">
      <alignment vertical="center"/>
    </xf>
    <xf numFmtId="0" fontId="4" fillId="11" borderId="24" xfId="0" applyFont="1" applyFill="1" applyBorder="1" applyAlignment="1" applyProtection="1">
      <alignment vertical="center"/>
    </xf>
    <xf numFmtId="0" fontId="4" fillId="11" borderId="25" xfId="0" applyFont="1" applyFill="1" applyBorder="1" applyAlignment="1" applyProtection="1">
      <alignment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14" xfId="0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30" xfId="0" applyFont="1" applyFill="1" applyBorder="1" applyAlignment="1">
      <alignment horizontal="center" vertical="center"/>
    </xf>
    <xf numFmtId="0" fontId="3" fillId="7" borderId="31" xfId="0" applyFont="1" applyFill="1" applyBorder="1" applyAlignment="1">
      <alignment horizontal="center" vertical="center"/>
    </xf>
    <xf numFmtId="0" fontId="3" fillId="7" borderId="32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0" fillId="14" borderId="0" xfId="0" applyFill="1"/>
    <xf numFmtId="0" fontId="3" fillId="12" borderId="1" xfId="0" applyFont="1" applyFill="1" applyBorder="1" applyAlignment="1">
      <alignment horizontal="center" vertical="center"/>
    </xf>
    <xf numFmtId="0" fontId="0" fillId="12" borderId="0" xfId="0" applyFill="1"/>
    <xf numFmtId="0" fontId="3" fillId="13" borderId="1" xfId="0" applyFont="1" applyFill="1" applyBorder="1" applyAlignment="1">
      <alignment horizontal="center" vertical="center"/>
    </xf>
    <xf numFmtId="0" fontId="0" fillId="13" borderId="0" xfId="0" applyFill="1"/>
    <xf numFmtId="0" fontId="10" fillId="3" borderId="5" xfId="0" applyFont="1" applyFill="1" applyBorder="1" applyAlignment="1">
      <alignment horizontal="center"/>
    </xf>
    <xf numFmtId="0" fontId="10" fillId="6" borderId="5" xfId="0" applyFont="1" applyFill="1" applyBorder="1" applyAlignment="1">
      <alignment horizontal="center"/>
    </xf>
    <xf numFmtId="0" fontId="10" fillId="8" borderId="5" xfId="0" applyFont="1" applyFill="1" applyBorder="1" applyAlignment="1">
      <alignment horizontal="center"/>
    </xf>
    <xf numFmtId="0" fontId="10" fillId="12" borderId="5" xfId="0" applyFont="1" applyFill="1" applyBorder="1" applyAlignment="1">
      <alignment horizontal="center"/>
    </xf>
    <xf numFmtId="0" fontId="10" fillId="13" borderId="5" xfId="0" applyFont="1" applyFill="1" applyBorder="1" applyAlignment="1">
      <alignment horizontal="center"/>
    </xf>
    <xf numFmtId="0" fontId="10" fillId="13" borderId="33" xfId="0" applyFont="1" applyFill="1" applyBorder="1" applyAlignment="1">
      <alignment horizontal="center"/>
    </xf>
    <xf numFmtId="0" fontId="10" fillId="13" borderId="34" xfId="0" applyFont="1" applyFill="1" applyBorder="1" applyAlignment="1">
      <alignment horizontal="center"/>
    </xf>
    <xf numFmtId="0" fontId="12" fillId="9" borderId="0" xfId="0" applyFont="1" applyFill="1" applyAlignment="1">
      <alignment horizontal="center"/>
    </xf>
    <xf numFmtId="0" fontId="10" fillId="9" borderId="5" xfId="0" applyFont="1" applyFill="1" applyBorder="1" applyAlignment="1">
      <alignment horizontal="center"/>
    </xf>
    <xf numFmtId="2" fontId="10" fillId="13" borderId="35" xfId="0" applyNumberFormat="1" applyFont="1" applyFill="1" applyBorder="1" applyAlignment="1">
      <alignment horizontal="center"/>
    </xf>
    <xf numFmtId="0" fontId="10" fillId="15" borderId="5" xfId="0" applyFont="1" applyFill="1" applyBorder="1" applyAlignment="1">
      <alignment horizontal="center"/>
    </xf>
    <xf numFmtId="0" fontId="10" fillId="13" borderId="35" xfId="0" applyFont="1" applyFill="1" applyBorder="1" applyAlignment="1">
      <alignment horizontal="center"/>
    </xf>
    <xf numFmtId="0" fontId="25" fillId="15" borderId="5" xfId="0" applyFont="1" applyFill="1" applyBorder="1" applyAlignment="1">
      <alignment horizontal="center"/>
    </xf>
    <xf numFmtId="0" fontId="25" fillId="15" borderId="36" xfId="0" applyFont="1" applyFill="1" applyBorder="1" applyAlignment="1">
      <alignment horizontal="center"/>
    </xf>
    <xf numFmtId="0" fontId="13" fillId="15" borderId="37" xfId="0" applyFont="1" applyFill="1" applyBorder="1" applyAlignment="1">
      <alignment horizontal="center"/>
    </xf>
    <xf numFmtId="0" fontId="13" fillId="15" borderId="5" xfId="0" applyFont="1" applyFill="1" applyBorder="1" applyAlignment="1">
      <alignment horizontal="center"/>
    </xf>
    <xf numFmtId="0" fontId="13" fillId="13" borderId="5" xfId="0" applyFont="1" applyFill="1" applyBorder="1" applyAlignment="1">
      <alignment horizontal="center"/>
    </xf>
    <xf numFmtId="1" fontId="13" fillId="13" borderId="5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6" fillId="0" borderId="0" xfId="0" applyFont="1"/>
    <xf numFmtId="1" fontId="26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27" fillId="10" borderId="41" xfId="0" applyFont="1" applyFill="1" applyBorder="1" applyAlignment="1">
      <alignment horizontal="center" vertical="center"/>
    </xf>
    <xf numFmtId="0" fontId="27" fillId="10" borderId="42" xfId="0" applyFont="1" applyFill="1" applyBorder="1" applyAlignment="1">
      <alignment horizontal="center" vertical="center"/>
    </xf>
    <xf numFmtId="0" fontId="27" fillId="10" borderId="43" xfId="0" applyFont="1" applyFill="1" applyBorder="1" applyAlignment="1">
      <alignment horizontal="center" vertical="center"/>
    </xf>
    <xf numFmtId="0" fontId="14" fillId="5" borderId="44" xfId="0" applyFont="1" applyFill="1" applyBorder="1" applyAlignment="1">
      <alignment horizontal="center" vertical="center"/>
    </xf>
    <xf numFmtId="0" fontId="14" fillId="5" borderId="45" xfId="0" applyFont="1" applyFill="1" applyBorder="1" applyAlignment="1">
      <alignment horizontal="center" vertical="center"/>
    </xf>
    <xf numFmtId="0" fontId="14" fillId="5" borderId="17" xfId="0" applyFont="1" applyFill="1" applyBorder="1" applyAlignment="1">
      <alignment horizontal="center" vertical="center"/>
    </xf>
    <xf numFmtId="0" fontId="14" fillId="5" borderId="46" xfId="0" applyFont="1" applyFill="1" applyBorder="1" applyAlignment="1">
      <alignment horizontal="center" vertical="center"/>
    </xf>
    <xf numFmtId="0" fontId="14" fillId="5" borderId="47" xfId="0" applyFont="1" applyFill="1" applyBorder="1" applyAlignment="1">
      <alignment horizontal="center" vertical="center"/>
    </xf>
    <xf numFmtId="0" fontId="14" fillId="5" borderId="48" xfId="0" applyFont="1" applyFill="1" applyBorder="1" applyAlignment="1">
      <alignment horizontal="center" vertical="center"/>
    </xf>
    <xf numFmtId="0" fontId="14" fillId="5" borderId="49" xfId="0" applyFont="1" applyFill="1" applyBorder="1" applyAlignment="1">
      <alignment horizontal="center" vertical="center"/>
    </xf>
    <xf numFmtId="0" fontId="14" fillId="5" borderId="50" xfId="0" applyFont="1" applyFill="1" applyBorder="1" applyAlignment="1">
      <alignment horizontal="center" vertical="center"/>
    </xf>
    <xf numFmtId="0" fontId="14" fillId="5" borderId="51" xfId="0" applyFont="1" applyFill="1" applyBorder="1" applyAlignment="1">
      <alignment horizontal="center" vertical="center"/>
    </xf>
    <xf numFmtId="0" fontId="14" fillId="5" borderId="52" xfId="0" applyFont="1" applyFill="1" applyBorder="1" applyAlignment="1">
      <alignment horizontal="center" vertical="center"/>
    </xf>
    <xf numFmtId="0" fontId="14" fillId="5" borderId="38" xfId="0" applyFont="1" applyFill="1" applyBorder="1" applyAlignment="1">
      <alignment horizontal="center" vertical="center"/>
    </xf>
    <xf numFmtId="0" fontId="14" fillId="5" borderId="34" xfId="0" applyFont="1" applyFill="1" applyBorder="1" applyAlignment="1">
      <alignment horizontal="center" vertical="center"/>
    </xf>
    <xf numFmtId="0" fontId="14" fillId="5" borderId="39" xfId="0" applyFont="1" applyFill="1" applyBorder="1" applyAlignment="1">
      <alignment horizontal="center" vertical="center"/>
    </xf>
    <xf numFmtId="0" fontId="14" fillId="5" borderId="40" xfId="0" applyFont="1" applyFill="1" applyBorder="1" applyAlignment="1">
      <alignment horizontal="center" vertical="center"/>
    </xf>
    <xf numFmtId="14" fontId="3" fillId="12" borderId="4" xfId="0" applyNumberFormat="1" applyFont="1" applyFill="1" applyBorder="1" applyAlignment="1" applyProtection="1">
      <alignment horizontal="center" vertical="center"/>
    </xf>
    <xf numFmtId="14" fontId="3" fillId="12" borderId="0" xfId="0" applyNumberFormat="1" applyFont="1" applyFill="1" applyBorder="1" applyAlignment="1" applyProtection="1">
      <alignment horizontal="center" vertical="center"/>
    </xf>
    <xf numFmtId="14" fontId="3" fillId="13" borderId="53" xfId="0" applyNumberFormat="1" applyFont="1" applyFill="1" applyBorder="1" applyAlignment="1" applyProtection="1">
      <alignment horizontal="center" vertical="center"/>
    </xf>
    <xf numFmtId="0" fontId="3" fillId="13" borderId="54" xfId="0" applyFont="1" applyFill="1" applyBorder="1" applyAlignment="1" applyProtection="1">
      <alignment horizontal="center" vertical="center"/>
    </xf>
    <xf numFmtId="0" fontId="3" fillId="13" borderId="4" xfId="0" applyFont="1" applyFill="1" applyBorder="1" applyAlignment="1" applyProtection="1">
      <alignment horizontal="center" vertical="center"/>
    </xf>
    <xf numFmtId="0" fontId="3" fillId="13" borderId="55" xfId="0" applyFont="1" applyFill="1" applyBorder="1" applyAlignment="1" applyProtection="1">
      <alignment horizontal="center" vertical="center"/>
    </xf>
    <xf numFmtId="0" fontId="3" fillId="13" borderId="56" xfId="0" applyFont="1" applyFill="1" applyBorder="1" applyAlignment="1" applyProtection="1">
      <alignment horizontal="center" vertical="center"/>
    </xf>
    <xf numFmtId="0" fontId="3" fillId="13" borderId="57" xfId="0" applyFont="1" applyFill="1" applyBorder="1" applyAlignment="1" applyProtection="1">
      <alignment horizontal="center" vertical="center"/>
    </xf>
    <xf numFmtId="0" fontId="28" fillId="16" borderId="58" xfId="0" applyFont="1" applyFill="1" applyBorder="1" applyAlignment="1" applyProtection="1">
      <alignment horizontal="center" vertical="center" textRotation="180"/>
    </xf>
    <xf numFmtId="0" fontId="28" fillId="16" borderId="34" xfId="0" applyFont="1" applyFill="1" applyBorder="1" applyAlignment="1" applyProtection="1">
      <alignment horizontal="center" vertical="center" textRotation="180"/>
    </xf>
    <xf numFmtId="0" fontId="28" fillId="11" borderId="59" xfId="0" applyFont="1" applyFill="1" applyBorder="1" applyAlignment="1" applyProtection="1">
      <alignment horizontal="center" vertical="center" textRotation="180"/>
    </xf>
    <xf numFmtId="0" fontId="28" fillId="11" borderId="58" xfId="0" applyFont="1" applyFill="1" applyBorder="1" applyAlignment="1" applyProtection="1">
      <alignment horizontal="center" vertical="center" textRotation="180"/>
    </xf>
    <xf numFmtId="0" fontId="28" fillId="11" borderId="34" xfId="0" applyFont="1" applyFill="1" applyBorder="1" applyAlignment="1" applyProtection="1">
      <alignment horizontal="center" vertical="center" textRotation="180"/>
    </xf>
    <xf numFmtId="0" fontId="24" fillId="11" borderId="60" xfId="0" applyFont="1" applyFill="1" applyBorder="1" applyAlignment="1" applyProtection="1">
      <alignment horizontal="center" vertical="center"/>
    </xf>
    <xf numFmtId="0" fontId="24" fillId="11" borderId="36" xfId="0" applyFont="1" applyFill="1" applyBorder="1" applyAlignment="1" applyProtection="1">
      <alignment horizontal="center" vertical="center"/>
    </xf>
    <xf numFmtId="0" fontId="24" fillId="11" borderId="37" xfId="0" applyFont="1" applyFill="1" applyBorder="1" applyAlignment="1" applyProtection="1">
      <alignment horizontal="center" vertical="center"/>
    </xf>
    <xf numFmtId="0" fontId="28" fillId="11" borderId="21" xfId="0" applyFont="1" applyFill="1" applyBorder="1" applyAlignment="1" applyProtection="1">
      <alignment horizontal="center" vertical="center"/>
    </xf>
    <xf numFmtId="0" fontId="28" fillId="11" borderId="24" xfId="0" applyFont="1" applyFill="1" applyBorder="1" applyAlignment="1" applyProtection="1">
      <alignment horizontal="center" vertical="center"/>
    </xf>
    <xf numFmtId="0" fontId="26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9" fillId="11" borderId="0" xfId="0" applyFont="1" applyFill="1" applyBorder="1" applyAlignment="1">
      <alignment horizontal="center" vertical="center"/>
    </xf>
    <xf numFmtId="0" fontId="29" fillId="11" borderId="61" xfId="0" applyFont="1" applyFill="1" applyBorder="1" applyAlignment="1">
      <alignment horizontal="center" vertical="center"/>
    </xf>
    <xf numFmtId="0" fontId="10" fillId="12" borderId="34" xfId="0" applyFont="1" applyFill="1" applyBorder="1" applyAlignment="1">
      <alignment horizontal="center"/>
    </xf>
    <xf numFmtId="0" fontId="10" fillId="12" borderId="5" xfId="0" applyFont="1" applyFill="1" applyBorder="1" applyAlignment="1">
      <alignment horizontal="center"/>
    </xf>
    <xf numFmtId="0" fontId="10" fillId="12" borderId="33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8" borderId="61" xfId="0" applyFont="1" applyFill="1" applyBorder="1" applyAlignment="1">
      <alignment horizontal="center"/>
    </xf>
    <xf numFmtId="0" fontId="12" fillId="9" borderId="61" xfId="0" applyFont="1" applyFill="1" applyBorder="1" applyAlignment="1">
      <alignment horizontal="center"/>
    </xf>
    <xf numFmtId="0" fontId="12" fillId="15" borderId="61" xfId="0" applyFont="1" applyFill="1" applyBorder="1" applyAlignment="1">
      <alignment horizontal="center"/>
    </xf>
    <xf numFmtId="0" fontId="10" fillId="12" borderId="35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 val="0"/>
        <i val="0"/>
        <color rgb="FFC00000"/>
      </font>
    </dxf>
    <dxf>
      <font>
        <b val="0"/>
        <i val="0"/>
        <color rgb="FFC0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152401</xdr:colOff>
      <xdr:row>5</xdr:row>
      <xdr:rowOff>190500</xdr:rowOff>
    </xdr:from>
    <xdr:to>
      <xdr:col>11</xdr:col>
      <xdr:colOff>657225</xdr:colOff>
      <xdr:row>13</xdr:row>
      <xdr:rowOff>141598</xdr:rowOff>
    </xdr:to>
    <xdr:pic>
      <xdr:nvPicPr>
        <xdr:cNvPr id="2" name="صورة 1" descr="LFP0406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80590275" y="1247775"/>
          <a:ext cx="1762124" cy="1762124"/>
        </a:xfrm>
        <a:prstGeom prst="roundRect">
          <a:avLst>
            <a:gd name="adj" fmla="val 16667"/>
          </a:avLst>
        </a:prstGeom>
        <a:ln>
          <a:noFill/>
        </a:ln>
        <a:effectLst>
          <a:outerShdw blurRad="152400" dist="12000" dir="900000" sy="98000" kx="110000" ky="200000" algn="tl" rotWithShape="0">
            <a:srgbClr val="000000">
              <a:alpha val="30000"/>
            </a:srgbClr>
          </a:outerShdw>
        </a:effectLst>
        <a:scene3d>
          <a:camera prst="perspectiveRelaxed">
            <a:rot lat="19800000" lon="1200000" rev="20820000"/>
          </a:camera>
          <a:lightRig rig="threePt" dir="t"/>
        </a:scene3d>
        <a:sp3d contourW="6350" prstMaterial="matte">
          <a:bevelT w="101600" h="101600"/>
          <a:contourClr>
            <a:srgbClr val="969696"/>
          </a:contourClr>
        </a:sp3d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واف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وافر">
      <a:majorFont>
        <a:latin typeface="Trebuchet MS"/>
        <a:ea typeface=""/>
        <a:cs typeface=""/>
        <a:font script="Jpan" typeface="HG丸ｺﾞｼｯｸM-PRO"/>
        <a:font script="Hang" typeface="HY그래픽M"/>
        <a:font script="Hans" typeface="黑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Trebuchet MS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وافر">
      <a:fillStyleLst>
        <a:solidFill>
          <a:schemeClr val="phClr"/>
        </a:solidFill>
        <a:gradFill rotWithShape="1">
          <a:gsLst>
            <a:gs pos="0">
              <a:schemeClr val="phClr">
                <a:tint val="15000"/>
                <a:satMod val="250000"/>
              </a:schemeClr>
            </a:gs>
            <a:gs pos="49000">
              <a:schemeClr val="phClr">
                <a:tint val="50000"/>
                <a:satMod val="200000"/>
              </a:schemeClr>
            </a:gs>
            <a:gs pos="49100">
              <a:schemeClr val="phClr">
                <a:tint val="64000"/>
                <a:satMod val="160000"/>
              </a:schemeClr>
            </a:gs>
            <a:gs pos="92000">
              <a:schemeClr val="phClr">
                <a:tint val="50000"/>
                <a:satMod val="200000"/>
              </a:schemeClr>
            </a:gs>
            <a:gs pos="100000">
              <a:schemeClr val="phClr">
                <a:tint val="43000"/>
                <a:satMod val="19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4000"/>
              </a:schemeClr>
            </a:gs>
            <a:gs pos="49000">
              <a:schemeClr val="phClr">
                <a:tint val="96000"/>
                <a:shade val="84000"/>
                <a:satMod val="110000"/>
              </a:schemeClr>
            </a:gs>
            <a:gs pos="49100">
              <a:schemeClr val="phClr">
                <a:shade val="55000"/>
                <a:satMod val="150000"/>
              </a:schemeClr>
            </a:gs>
            <a:gs pos="92000">
              <a:schemeClr val="phClr">
                <a:tint val="98000"/>
                <a:shade val="90000"/>
                <a:satMod val="128000"/>
              </a:schemeClr>
            </a:gs>
            <a:gs pos="100000">
              <a:schemeClr val="phClr">
                <a:tint val="90000"/>
                <a:shade val="97000"/>
                <a:satMod val="128000"/>
              </a:schemeClr>
            </a:gs>
          </a:gsLst>
          <a:lin ang="5400000" scaled="1"/>
        </a:gradFill>
      </a:fillStyleLst>
      <a:lnStyleLst>
        <a:ln w="11430" cap="flat" cmpd="sng" algn="ctr">
          <a:solidFill>
            <a:schemeClr val="phClr"/>
          </a:solidFill>
          <a:prstDash val="solid"/>
        </a:ln>
        <a:ln w="40000" cap="flat" cmpd="sng" algn="ctr">
          <a:solidFill>
            <a:schemeClr val="phClr"/>
          </a:solidFill>
          <a:prstDash val="solid"/>
        </a:ln>
        <a:ln w="318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000" dir="5400000" rotWithShape="0">
              <a:schemeClr val="phClr">
                <a:shade val="30000"/>
                <a:satMod val="150000"/>
                <a:alpha val="38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500000"/>
            </a:lightRig>
          </a:scene3d>
          <a:sp3d extrusionH="127000" prstMaterial="powder">
            <a:bevelT w="50800" h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50000" t="50000" r="5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80000"/>
              </a:schemeClr>
              <a:schemeClr val="phClr">
                <a:tint val="500"/>
                <a:satMod val="150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hihi2.com/" TargetMode="External"/><Relationship Id="rId7" Type="http://schemas.openxmlformats.org/officeDocument/2006/relationships/image" Target="../media/image2.png"/><Relationship Id="rId2" Type="http://schemas.openxmlformats.org/officeDocument/2006/relationships/hyperlink" Target="http://forum.hihi2.com/forumdisplay.php?f=12" TargetMode="External"/><Relationship Id="rId1" Type="http://schemas.openxmlformats.org/officeDocument/2006/relationships/hyperlink" Target="http://www.hihi2.com/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hihi2.com/downloads-action-listdownloads-id-1.htm" TargetMode="External"/><Relationship Id="rId4" Type="http://schemas.openxmlformats.org/officeDocument/2006/relationships/hyperlink" Target="http://www.hihi2.com/videos-action-listvideos-id-1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AD25"/>
  <sheetViews>
    <sheetView showGridLines="0" rightToLeft="1" workbookViewId="0"/>
  </sheetViews>
  <sheetFormatPr defaultRowHeight="12.75"/>
  <cols>
    <col min="1" max="1" width="3.7109375" customWidth="1"/>
    <col min="2" max="2" width="5" customWidth="1"/>
    <col min="3" max="3" width="11.5703125" style="3" customWidth="1"/>
    <col min="4" max="30" width="4.28515625" customWidth="1"/>
  </cols>
  <sheetData>
    <row r="1" spans="2:30" ht="9.75" customHeight="1" thickBot="1"/>
    <row r="2" spans="2:30" ht="24.75" customHeight="1" thickTop="1">
      <c r="B2" s="103" t="s">
        <v>165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5"/>
    </row>
    <row r="3" spans="2:30" ht="15.75" customHeight="1">
      <c r="B3" s="118" t="s">
        <v>8</v>
      </c>
      <c r="C3" s="116" t="s">
        <v>65</v>
      </c>
      <c r="D3" s="106" t="s">
        <v>2</v>
      </c>
      <c r="E3" s="108" t="s">
        <v>71</v>
      </c>
      <c r="F3" s="108" t="s">
        <v>3</v>
      </c>
      <c r="G3" s="108" t="s">
        <v>4</v>
      </c>
      <c r="H3" s="108" t="s">
        <v>72</v>
      </c>
      <c r="I3" s="108" t="s">
        <v>5</v>
      </c>
      <c r="J3" s="108" t="s">
        <v>6</v>
      </c>
      <c r="K3" s="108" t="s">
        <v>7</v>
      </c>
      <c r="L3" s="110" t="s">
        <v>67</v>
      </c>
      <c r="M3" s="112" t="s">
        <v>76</v>
      </c>
      <c r="N3" s="113"/>
      <c r="O3" s="113"/>
      <c r="P3" s="113"/>
      <c r="Q3" s="113"/>
      <c r="R3" s="113"/>
      <c r="S3" s="113"/>
      <c r="T3" s="113"/>
      <c r="U3" s="114"/>
      <c r="V3" s="113" t="s">
        <v>77</v>
      </c>
      <c r="W3" s="113"/>
      <c r="X3" s="113"/>
      <c r="Y3" s="113"/>
      <c r="Z3" s="113"/>
      <c r="AA3" s="113"/>
      <c r="AB3" s="113"/>
      <c r="AC3" s="113"/>
      <c r="AD3" s="115"/>
    </row>
    <row r="4" spans="2:30" ht="15" customHeight="1">
      <c r="B4" s="119"/>
      <c r="C4" s="117"/>
      <c r="D4" s="107"/>
      <c r="E4" s="109"/>
      <c r="F4" s="109"/>
      <c r="G4" s="109"/>
      <c r="H4" s="109"/>
      <c r="I4" s="109"/>
      <c r="J4" s="109"/>
      <c r="K4" s="109"/>
      <c r="L4" s="111"/>
      <c r="M4" s="51" t="s">
        <v>2</v>
      </c>
      <c r="N4" s="52" t="s">
        <v>71</v>
      </c>
      <c r="O4" s="52" t="s">
        <v>3</v>
      </c>
      <c r="P4" s="52" t="s">
        <v>4</v>
      </c>
      <c r="Q4" s="52" t="s">
        <v>72</v>
      </c>
      <c r="R4" s="52" t="s">
        <v>5</v>
      </c>
      <c r="S4" s="52" t="s">
        <v>6</v>
      </c>
      <c r="T4" s="52" t="s">
        <v>7</v>
      </c>
      <c r="U4" s="53" t="s">
        <v>67</v>
      </c>
      <c r="V4" s="54" t="s">
        <v>2</v>
      </c>
      <c r="W4" s="52" t="s">
        <v>71</v>
      </c>
      <c r="X4" s="52" t="s">
        <v>3</v>
      </c>
      <c r="Y4" s="52" t="s">
        <v>4</v>
      </c>
      <c r="Z4" s="52" t="s">
        <v>72</v>
      </c>
      <c r="AA4" s="52" t="s">
        <v>5</v>
      </c>
      <c r="AB4" s="52" t="s">
        <v>6</v>
      </c>
      <c r="AC4" s="52" t="s">
        <v>7</v>
      </c>
      <c r="AD4" s="55" t="s">
        <v>67</v>
      </c>
    </row>
    <row r="5" spans="2:30" ht="15" customHeight="1">
      <c r="B5" s="56">
        <f>IF(مساحة_العمل!$AG$25&gt;20,مساحة_العمل!B5,"")</f>
        <v>1</v>
      </c>
      <c r="C5" s="57" t="str">
        <f>IF(مساحة_العمل!$AG$25&lt;&gt;210,"",INDEX(مساحة_العمل!C$5:C$24,MATCH($B5,مساحة_العمل!$AG$5:'مساحة_العمل'!$AG$24,0)))</f>
        <v>برشلونة</v>
      </c>
      <c r="D5" s="57">
        <f>IF(مساحة_العمل!$AG$25&lt;&gt;210,"",INDEX(مساحة_العمل!D$5:D$24,MATCH($B5,مساحة_العمل!$AG$5:'مساحة_العمل'!$AG$24,0)))</f>
        <v>30</v>
      </c>
      <c r="E5" s="57">
        <f>IF(مساحة_العمل!$AG$25&lt;&gt;210,"",INDEX(مساحة_العمل!E$5:E$24,MATCH($B5,مساحة_العمل!$AG$5:'مساحة_العمل'!$AG$24,0)))</f>
        <v>8</v>
      </c>
      <c r="F5" s="57">
        <f>IF(مساحة_العمل!$AG$25&lt;&gt;210,"",INDEX(مساحة_العمل!F$5:F$24,MATCH($B5,مساحة_العمل!$AG$5:'مساحة_العمل'!$AG$24,0)))</f>
        <v>26</v>
      </c>
      <c r="G5" s="57">
        <f>IF(مساحة_العمل!$AG$25&lt;&gt;210,"",INDEX(مساحة_العمل!G$5:G$24,MATCH($B5,مساحة_العمل!$AG$5:'مساحة_العمل'!$AG$24,0)))</f>
        <v>3</v>
      </c>
      <c r="H5" s="57">
        <f>IF(مساحة_العمل!$AG$25&lt;&gt;210,"",INDEX(مساحة_العمل!H$5:H$24,MATCH($B5,مساحة_العمل!$AG$5:'مساحة_العمل'!$AG$24,0)))</f>
        <v>1</v>
      </c>
      <c r="I5" s="57">
        <f>IF(مساحة_العمل!$AG$25&lt;&gt;210,"",INDEX(مساحة_العمل!I$5:I$24,MATCH($B5,مساحة_العمل!$AG$5:'مساحة_العمل'!$AG$24,0)))</f>
        <v>79</v>
      </c>
      <c r="J5" s="57">
        <f>IF(مساحة_العمل!$AG$25&lt;&gt;210,"",INDEX(مساحة_العمل!J$5:J$24,MATCH($B5,مساحة_العمل!$AG$5:'مساحة_العمل'!$AG$24,0)))</f>
        <v>15</v>
      </c>
      <c r="K5" s="57">
        <f>IF(مساحة_العمل!$AG$25&lt;&gt;210,"",INDEX(مساحة_العمل!K$5:K$24,MATCH($B5,مساحة_العمل!$AG$5:'مساحة_العمل'!$AG$24,0)))</f>
        <v>64</v>
      </c>
      <c r="L5" s="57">
        <f>IF(مساحة_العمل!$AG$25&lt;&gt;210,"",INDEX(مساحة_العمل!L$5:L$24,MATCH($B5,مساحة_العمل!$AG$5:'مساحة_العمل'!$AG$24,0)))</f>
        <v>81</v>
      </c>
      <c r="M5" s="57">
        <f>IF(مساحة_العمل!$AG$25&lt;&gt;210,"",INDEX(مساحة_العمل!M$5:M$24,MATCH($B5,مساحة_العمل!$AG$5:'مساحة_العمل'!$AG$24,0)))</f>
        <v>15</v>
      </c>
      <c r="N5" s="57">
        <f>IF(مساحة_العمل!$AG$25&lt;&gt;210,"",INDEX(مساحة_العمل!N$5:N$24,MATCH($B5,مساحة_العمل!$AG$5:'مساحة_العمل'!$AG$24,0)))</f>
        <v>4</v>
      </c>
      <c r="O5" s="57">
        <f>IF(مساحة_العمل!$AG$25&lt;&gt;210,"",INDEX(مساحة_العمل!O$5:O$24,MATCH($B5,مساحة_العمل!$AG$5:'مساحة_العمل'!$AG$24,0)))</f>
        <v>13</v>
      </c>
      <c r="P5" s="57">
        <f>IF(مساحة_العمل!$AG$25&lt;&gt;210,"",INDEX(مساحة_العمل!P$5:P$24,MATCH($B5,مساحة_العمل!$AG$5:'مساحة_العمل'!$AG$24,0)))</f>
        <v>1</v>
      </c>
      <c r="Q5" s="57">
        <f>IF(مساحة_العمل!$AG$25&lt;&gt;210,"",INDEX(مساحة_العمل!Q$5:Q$24,MATCH($B5,مساحة_العمل!$AG$5:'مساحة_العمل'!$AG$24,0)))</f>
        <v>1</v>
      </c>
      <c r="R5" s="57">
        <f>IF(مساحة_العمل!$AG$25&lt;&gt;210,"",INDEX(مساحة_العمل!R$5:R$24,MATCH($B5,مساحة_العمل!$AG$5:'مساحة_العمل'!$AG$24,0)))</f>
        <v>36</v>
      </c>
      <c r="S5" s="57">
        <f>IF(مساحة_العمل!$AG$25&lt;&gt;210,"",INDEX(مساحة_العمل!S$5:S$24,MATCH($B5,مساحة_العمل!$AG$5:'مساحة_العمل'!$AG$24,0)))</f>
        <v>9</v>
      </c>
      <c r="T5" s="57">
        <f>IF(مساحة_العمل!$AG$25&lt;&gt;210,"",INDEX(مساحة_العمل!T$5:T$24,MATCH($B5,مساحة_العمل!$AG$5:'مساحة_العمل'!$AG$24,0)))</f>
        <v>27</v>
      </c>
      <c r="U5" s="57">
        <f>IF(مساحة_العمل!$AG$25&lt;&gt;210,"",INDEX(مساحة_العمل!U$5:U$24,MATCH($B5,مساحة_العمل!$AG$5:'مساحة_العمل'!$AG$24,0)))</f>
        <v>40</v>
      </c>
      <c r="V5" s="57">
        <f>IF(مساحة_العمل!$AG$25&lt;&gt;210,"",INDEX(مساحة_العمل!V$5:V$24,MATCH($B5,مساحة_العمل!$AG$5:'مساحة_العمل'!$AG$24,0)))</f>
        <v>15</v>
      </c>
      <c r="W5" s="57">
        <f>IF(مساحة_العمل!$AG$25&lt;&gt;210,"",INDEX(مساحة_العمل!W$5:W$24,MATCH($B5,مساحة_العمل!$AG$5:'مساحة_العمل'!$AG$24,0)))</f>
        <v>4</v>
      </c>
      <c r="X5" s="57">
        <f>IF(مساحة_العمل!$AG$25&lt;&gt;210,"",INDEX(مساحة_العمل!X$5:X$24,MATCH($B5,مساحة_العمل!$AG$5:'مساحة_العمل'!$AG$24,0)))</f>
        <v>13</v>
      </c>
      <c r="Y5" s="57">
        <f>IF(مساحة_العمل!$AG$25&lt;&gt;210,"",INDEX(مساحة_العمل!Y$5:Y$24,MATCH($B5,مساحة_العمل!$AG$5:'مساحة_العمل'!$AG$24,0)))</f>
        <v>2</v>
      </c>
      <c r="Z5" s="57">
        <f>IF(مساحة_العمل!$AG$25&lt;&gt;210,"",INDEX(مساحة_العمل!Z$5:Z$24,MATCH($B5,مساحة_العمل!$AG$5:'مساحة_العمل'!$AG$24,0)))</f>
        <v>0</v>
      </c>
      <c r="AA5" s="57">
        <f>IF(مساحة_العمل!$AG$25&lt;&gt;210,"",INDEX(مساحة_العمل!AA$5:AA$24,MATCH($B5,مساحة_العمل!$AG$5:'مساحة_العمل'!$AG$24,0)))</f>
        <v>43</v>
      </c>
      <c r="AB5" s="57">
        <f>IF(مساحة_العمل!$AG$25&lt;&gt;210,"",INDEX(مساحة_العمل!AB$5:AB$24,MATCH($B5,مساحة_العمل!$AG$5:'مساحة_العمل'!$AG$24,0)))</f>
        <v>6</v>
      </c>
      <c r="AC5" s="57">
        <f>IF(مساحة_العمل!$AG$25&lt;&gt;210,"",INDEX(مساحة_العمل!AC$5:AC$24,MATCH($B5,مساحة_العمل!$AG$5:'مساحة_العمل'!$AG$24,0)))</f>
        <v>37</v>
      </c>
      <c r="AD5" s="58">
        <f>IF(مساحة_العمل!$AG$25&lt;&gt;210,"",INDEX(مساحة_العمل!AD$5:AD$24,MATCH($B5,مساحة_العمل!$AG$5:'مساحة_العمل'!$AG$24,0)))</f>
        <v>41</v>
      </c>
    </row>
    <row r="6" spans="2:30" ht="15" customHeight="1">
      <c r="B6" s="59">
        <f>IF(مساحة_العمل!$AG$25&gt;20,مساحة_العمل!B6,"")</f>
        <v>2</v>
      </c>
      <c r="C6" s="60" t="str">
        <f>IF(مساحة_العمل!$AG$25&lt;&gt;210,"",INDEX(مساحة_العمل!C$5:C$24,MATCH($B6,مساحة_العمل!$AG$5:'مساحة_العمل'!$AG$24,0)))</f>
        <v>ريال مدريد</v>
      </c>
      <c r="D6" s="60">
        <f>IF(مساحة_العمل!$AG$25&lt;&gt;210,"",INDEX(مساحة_العمل!D$5:D$24,MATCH($B6,مساحة_العمل!$AG$5:'مساحة_العمل'!$AG$24,0)))</f>
        <v>30</v>
      </c>
      <c r="E6" s="60">
        <f>IF(مساحة_العمل!$AG$25&lt;&gt;210,"",INDEX(مساحة_العمل!E$5:E$24,MATCH($B6,مساحة_العمل!$AG$5:'مساحة_العمل'!$AG$24,0)))</f>
        <v>8</v>
      </c>
      <c r="F6" s="74">
        <f>IF(مساحة_العمل!$AG$25&lt;&gt;210,"",INDEX(مساحة_العمل!F$5:F$24,MATCH($B6,مساحة_العمل!$AG$5:'مساحة_العمل'!$AG$24,0)))</f>
        <v>23</v>
      </c>
      <c r="G6" s="60">
        <f>IF(مساحة_العمل!$AG$25&lt;&gt;210,"",INDEX(مساحة_العمل!G$5:G$24,MATCH($B6,مساحة_العمل!$AG$5:'مساحة_العمل'!$AG$24,0)))</f>
        <v>4</v>
      </c>
      <c r="H6" s="60">
        <f>IF(مساحة_العمل!$AG$25&lt;&gt;210,"",INDEX(مساحة_العمل!H$5:H$24,MATCH($B6,مساحة_العمل!$AG$5:'مساحة_العمل'!$AG$24,0)))</f>
        <v>3</v>
      </c>
      <c r="I6" s="60">
        <f>IF(مساحة_العمل!$AG$25&lt;&gt;210,"",INDEX(مساحة_العمل!I$5:I$24,MATCH($B6,مساحة_العمل!$AG$5:'مساحة_العمل'!$AG$24,0)))</f>
        <v>69</v>
      </c>
      <c r="J6" s="60">
        <f>IF(مساحة_العمل!$AG$25&lt;&gt;210,"",INDEX(مساحة_العمل!J$5:J$24,MATCH($B6,مساحة_العمل!$AG$5:'مساحة_العمل'!$AG$24,0)))</f>
        <v>22</v>
      </c>
      <c r="K6" s="60">
        <f>IF(مساحة_العمل!$AG$25&lt;&gt;210,"",INDEX(مساحة_العمل!K$5:K$24,MATCH($B6,مساحة_العمل!$AG$5:'مساحة_العمل'!$AG$24,0)))</f>
        <v>47</v>
      </c>
      <c r="L6" s="60">
        <f>IF(مساحة_العمل!$AG$25&lt;&gt;210,"",INDEX(مساحة_العمل!L$5:L$24,MATCH($B6,مساحة_العمل!$AG$5:'مساحة_العمل'!$AG$24,0)))</f>
        <v>73</v>
      </c>
      <c r="M6" s="60">
        <f>IF(مساحة_العمل!$AG$25&lt;&gt;210,"",INDEX(مساحة_العمل!M$5:M$24,MATCH($B6,مساحة_العمل!$AG$5:'مساحة_العمل'!$AG$24,0)))</f>
        <v>15</v>
      </c>
      <c r="N6" s="60">
        <f>IF(مساحة_العمل!$AG$25&lt;&gt;210,"",INDEX(مساحة_العمل!N$5:N$24,MATCH($B6,مساحة_العمل!$AG$5:'مساحة_العمل'!$AG$24,0)))</f>
        <v>4</v>
      </c>
      <c r="O6" s="60">
        <f>IF(مساحة_العمل!$AG$25&lt;&gt;210,"",INDEX(مساحة_العمل!O$5:O$24,MATCH($B6,مساحة_العمل!$AG$5:'مساحة_العمل'!$AG$24,0)))</f>
        <v>14</v>
      </c>
      <c r="P6" s="60">
        <f>IF(مساحة_العمل!$AG$25&lt;&gt;210,"",INDEX(مساحة_العمل!P$5:P$24,MATCH($B6,مساحة_العمل!$AG$5:'مساحة_العمل'!$AG$24,0)))</f>
        <v>0</v>
      </c>
      <c r="Q6" s="60">
        <f>IF(مساحة_العمل!$AG$25&lt;&gt;210,"",INDEX(مساحة_العمل!Q$5:Q$24,MATCH($B6,مساحة_العمل!$AG$5:'مساحة_العمل'!$AG$24,0)))</f>
        <v>1</v>
      </c>
      <c r="R6" s="60">
        <f>IF(مساحة_العمل!$AG$25&lt;&gt;210,"",INDEX(مساحة_العمل!R$5:R$24,MATCH($B6,مساحة_العمل!$AG$5:'مساحة_العمل'!$AG$24,0)))</f>
        <v>46</v>
      </c>
      <c r="S6" s="60">
        <f>IF(مساحة_العمل!$AG$25&lt;&gt;210,"",INDEX(مساحة_العمل!S$5:S$24,MATCH($B6,مساحة_العمل!$AG$5:'مساحة_العمل'!$AG$24,0)))</f>
        <v>7</v>
      </c>
      <c r="T6" s="60">
        <f>IF(مساحة_العمل!$AG$25&lt;&gt;210,"",INDEX(مساحة_العمل!T$5:T$24,MATCH($B6,مساحة_العمل!$AG$5:'مساحة_العمل'!$AG$24,0)))</f>
        <v>39</v>
      </c>
      <c r="U6" s="60">
        <f>IF(مساحة_العمل!$AG$25&lt;&gt;210,"",INDEX(مساحة_العمل!U$5:U$24,MATCH($B6,مساحة_العمل!$AG$5:'مساحة_العمل'!$AG$24,0)))</f>
        <v>42</v>
      </c>
      <c r="V6" s="60">
        <f>IF(مساحة_العمل!$AG$25&lt;&gt;210,"",INDEX(مساحة_العمل!V$5:V$24,MATCH($B6,مساحة_العمل!$AG$5:'مساحة_العمل'!$AG$24,0)))</f>
        <v>15</v>
      </c>
      <c r="W6" s="60">
        <f>IF(مساحة_العمل!$AG$25&lt;&gt;210,"",INDEX(مساحة_العمل!W$5:W$24,MATCH($B6,مساحة_العمل!$AG$5:'مساحة_العمل'!$AG$24,0)))</f>
        <v>4</v>
      </c>
      <c r="X6" s="60">
        <f>IF(مساحة_العمل!$AG$25&lt;&gt;210,"",INDEX(مساحة_العمل!X$5:X$24,MATCH($B6,مساحة_العمل!$AG$5:'مساحة_العمل'!$AG$24,0)))</f>
        <v>9</v>
      </c>
      <c r="Y6" s="60">
        <f>IF(مساحة_العمل!$AG$25&lt;&gt;210,"",INDEX(مساحة_العمل!Y$5:Y$24,MATCH($B6,مساحة_العمل!$AG$5:'مساحة_العمل'!$AG$24,0)))</f>
        <v>4</v>
      </c>
      <c r="Z6" s="60">
        <f>IF(مساحة_العمل!$AG$25&lt;&gt;210,"",INDEX(مساحة_العمل!Z$5:Z$24,MATCH($B6,مساحة_العمل!$AG$5:'مساحة_العمل'!$AG$24,0)))</f>
        <v>2</v>
      </c>
      <c r="AA6" s="60">
        <f>IF(مساحة_العمل!$AG$25&lt;&gt;210,"",INDEX(مساحة_العمل!AA$5:AA$24,MATCH($B6,مساحة_العمل!$AG$5:'مساحة_العمل'!$AG$24,0)))</f>
        <v>23</v>
      </c>
      <c r="AB6" s="60">
        <f>IF(مساحة_العمل!$AG$25&lt;&gt;210,"",INDEX(مساحة_العمل!AB$5:AB$24,MATCH($B6,مساحة_العمل!$AG$5:'مساحة_العمل'!$AG$24,0)))</f>
        <v>15</v>
      </c>
      <c r="AC6" s="60">
        <f>IF(مساحة_العمل!$AG$25&lt;&gt;210,"",INDEX(مساحة_العمل!AC$5:AC$24,MATCH($B6,مساحة_العمل!$AG$5:'مساحة_العمل'!$AG$24,0)))</f>
        <v>8</v>
      </c>
      <c r="AD6" s="61">
        <f>IF(مساحة_العمل!$AG$25&lt;&gt;210,"",INDEX(مساحة_العمل!AD$5:AD$24,MATCH($B6,مساحة_العمل!$AG$5:'مساحة_العمل'!$AG$24,0)))</f>
        <v>31</v>
      </c>
    </row>
    <row r="7" spans="2:30" ht="15" customHeight="1">
      <c r="B7" s="59">
        <f>IF(مساحة_العمل!$AG$25&gt;20,مساحة_العمل!B7,"")</f>
        <v>3</v>
      </c>
      <c r="C7" s="60" t="str">
        <f>IF(مساحة_العمل!$AG$25&lt;&gt;210,"",INDEX(مساحة_العمل!C$5:C$24,MATCH($B7,مساحة_العمل!$AG$5:'مساحة_العمل'!$AG$24,0)))</f>
        <v>فالنسيا</v>
      </c>
      <c r="D7" s="60">
        <f>IF(مساحة_العمل!$AG$25&lt;&gt;210,"",INDEX(مساحة_العمل!D$5:D$24,MATCH($B7,مساحة_العمل!$AG$5:'مساحة_العمل'!$AG$24,0)))</f>
        <v>30</v>
      </c>
      <c r="E7" s="60">
        <f>IF(مساحة_العمل!$AG$25&lt;&gt;210,"",INDEX(مساحة_العمل!E$5:E$24,MATCH($B7,مساحة_العمل!$AG$5:'مساحة_العمل'!$AG$24,0)))</f>
        <v>8</v>
      </c>
      <c r="F7" s="60">
        <f>IF(مساحة_العمل!$AG$25&lt;&gt;210,"",INDEX(مساحة_العمل!F$5:F$24,MATCH($B7,مساحة_العمل!$AG$5:'مساحة_العمل'!$AG$24,0)))</f>
        <v>17</v>
      </c>
      <c r="G7" s="60">
        <f>IF(مساحة_العمل!$AG$25&lt;&gt;210,"",INDEX(مساحة_العمل!G$5:G$24,MATCH($B7,مساحة_العمل!$AG$5:'مساحة_العمل'!$AG$24,0)))</f>
        <v>6</v>
      </c>
      <c r="H7" s="60">
        <f>IF(مساحة_العمل!$AG$25&lt;&gt;210,"",INDEX(مساحة_العمل!H$5:H$24,MATCH($B7,مساحة_العمل!$AG$5:'مساحة_العمل'!$AG$24,0)))</f>
        <v>7</v>
      </c>
      <c r="I7" s="60">
        <f>IF(مساحة_العمل!$AG$25&lt;&gt;210,"",INDEX(مساحة_العمل!I$5:I$24,MATCH($B7,مساحة_العمل!$AG$5:'مساحة_العمل'!$AG$24,0)))</f>
        <v>46</v>
      </c>
      <c r="J7" s="60">
        <f>IF(مساحة_العمل!$AG$25&lt;&gt;210,"",INDEX(مساحة_العمل!J$5:J$24,MATCH($B7,مساحة_العمل!$AG$5:'مساحة_العمل'!$AG$24,0)))</f>
        <v>35</v>
      </c>
      <c r="K7" s="60">
        <f>IF(مساحة_العمل!$AG$25&lt;&gt;210,"",INDEX(مساحة_العمل!K$5:K$24,MATCH($B7,مساحة_العمل!$AG$5:'مساحة_العمل'!$AG$24,0)))</f>
        <v>11</v>
      </c>
      <c r="L7" s="60">
        <f>IF(مساحة_العمل!$AG$25&lt;&gt;210,"",INDEX(مساحة_العمل!L$5:L$24,MATCH($B7,مساحة_العمل!$AG$5:'مساحة_العمل'!$AG$24,0)))</f>
        <v>57</v>
      </c>
      <c r="M7" s="60">
        <f>IF(مساحة_العمل!$AG$25&lt;&gt;210,"",INDEX(مساحة_العمل!M$5:M$24,MATCH($B7,مساحة_العمل!$AG$5:'مساحة_العمل'!$AG$24,0)))</f>
        <v>15</v>
      </c>
      <c r="N7" s="60">
        <f>IF(مساحة_العمل!$AG$25&lt;&gt;210,"",INDEX(مساحة_العمل!N$5:N$24,MATCH($B7,مساحة_العمل!$AG$5:'مساحة_العمل'!$AG$24,0)))</f>
        <v>4</v>
      </c>
      <c r="O7" s="60">
        <f>IF(مساحة_العمل!$AG$25&lt;&gt;210,"",INDEX(مساحة_العمل!O$5:O$24,MATCH($B7,مساحة_العمل!$AG$5:'مساحة_العمل'!$AG$24,0)))</f>
        <v>8</v>
      </c>
      <c r="P7" s="60">
        <f>IF(مساحة_العمل!$AG$25&lt;&gt;210,"",INDEX(مساحة_العمل!P$5:P$24,MATCH($B7,مساحة_العمل!$AG$5:'مساحة_العمل'!$AG$24,0)))</f>
        <v>4</v>
      </c>
      <c r="Q7" s="60">
        <f>IF(مساحة_العمل!$AG$25&lt;&gt;210,"",INDEX(مساحة_العمل!Q$5:Q$24,MATCH($B7,مساحة_العمل!$AG$5:'مساحة_العمل'!$AG$24,0)))</f>
        <v>3</v>
      </c>
      <c r="R7" s="60">
        <f>IF(مساحة_العمل!$AG$25&lt;&gt;210,"",INDEX(مساحة_العمل!R$5:R$24,MATCH($B7,مساحة_العمل!$AG$5:'مساحة_العمل'!$AG$24,0)))</f>
        <v>23</v>
      </c>
      <c r="S7" s="60">
        <f>IF(مساحة_العمل!$AG$25&lt;&gt;210,"",INDEX(مساحة_العمل!S$5:S$24,MATCH($B7,مساحة_العمل!$AG$5:'مساحة_العمل'!$AG$24,0)))</f>
        <v>15</v>
      </c>
      <c r="T7" s="60">
        <f>IF(مساحة_العمل!$AG$25&lt;&gt;210,"",INDEX(مساحة_العمل!T$5:T$24,MATCH($B7,مساحة_العمل!$AG$5:'مساحة_العمل'!$AG$24,0)))</f>
        <v>8</v>
      </c>
      <c r="U7" s="60">
        <f>IF(مساحة_العمل!$AG$25&lt;&gt;210,"",INDEX(مساحة_العمل!U$5:U$24,MATCH($B7,مساحة_العمل!$AG$5:'مساحة_العمل'!$AG$24,0)))</f>
        <v>28</v>
      </c>
      <c r="V7" s="60">
        <f>IF(مساحة_العمل!$AG$25&lt;&gt;210,"",INDEX(مساحة_العمل!V$5:V$24,MATCH($B7,مساحة_العمل!$AG$5:'مساحة_العمل'!$AG$24,0)))</f>
        <v>15</v>
      </c>
      <c r="W7" s="60">
        <f>IF(مساحة_العمل!$AG$25&lt;&gt;210,"",INDEX(مساحة_العمل!W$5:W$24,MATCH($B7,مساحة_العمل!$AG$5:'مساحة_العمل'!$AG$24,0)))</f>
        <v>4</v>
      </c>
      <c r="X7" s="60">
        <f>IF(مساحة_العمل!$AG$25&lt;&gt;210,"",INDEX(مساحة_العمل!X$5:X$24,MATCH($B7,مساحة_العمل!$AG$5:'مساحة_العمل'!$AG$24,0)))</f>
        <v>9</v>
      </c>
      <c r="Y7" s="60">
        <f>IF(مساحة_العمل!$AG$25&lt;&gt;210,"",INDEX(مساحة_العمل!Y$5:Y$24,MATCH($B7,مساحة_العمل!$AG$5:'مساحة_العمل'!$AG$24,0)))</f>
        <v>2</v>
      </c>
      <c r="Z7" s="60">
        <f>IF(مساحة_العمل!$AG$25&lt;&gt;210,"",INDEX(مساحة_العمل!Z$5:Z$24,MATCH($B7,مساحة_العمل!$AG$5:'مساحة_العمل'!$AG$24,0)))</f>
        <v>4</v>
      </c>
      <c r="AA7" s="60">
        <f>IF(مساحة_العمل!$AG$25&lt;&gt;210,"",INDEX(مساحة_العمل!AA$5:AA$24,MATCH($B7,مساحة_العمل!$AG$5:'مساحة_العمل'!$AG$24,0)))</f>
        <v>23</v>
      </c>
      <c r="AB7" s="60">
        <f>IF(مساحة_العمل!$AG$25&lt;&gt;210,"",INDEX(مساحة_العمل!AB$5:AB$24,MATCH($B7,مساحة_العمل!$AG$5:'مساحة_العمل'!$AG$24,0)))</f>
        <v>20</v>
      </c>
      <c r="AC7" s="60">
        <f>IF(مساحة_العمل!$AG$25&lt;&gt;210,"",INDEX(مساحة_العمل!AC$5:AC$24,MATCH($B7,مساحة_العمل!$AG$5:'مساحة_العمل'!$AG$24,0)))</f>
        <v>3</v>
      </c>
      <c r="AD7" s="61">
        <f>IF(مساحة_العمل!$AG$25&lt;&gt;210,"",INDEX(مساحة_العمل!AD$5:AD$24,MATCH($B7,مساحة_العمل!$AG$5:'مساحة_العمل'!$AG$24,0)))</f>
        <v>29</v>
      </c>
    </row>
    <row r="8" spans="2:30" ht="15" customHeight="1">
      <c r="B8" s="62">
        <f>IF(مساحة_العمل!$AG$25&gt;20,مساحة_العمل!B8,"")</f>
        <v>4</v>
      </c>
      <c r="C8" s="63" t="str">
        <f>IF(مساحة_العمل!$AG$25&lt;&gt;210,"",INDEX(مساحة_العمل!C$5:C$24,MATCH($B8,مساحة_العمل!$AG$5:'مساحة_العمل'!$AG$24,0)))</f>
        <v>فياريال</v>
      </c>
      <c r="D8" s="63">
        <f>IF(مساحة_العمل!$AG$25&lt;&gt;210,"",INDEX(مساحة_العمل!D$5:D$24,MATCH($B8,مساحة_العمل!$AG$5:'مساحة_العمل'!$AG$24,0)))</f>
        <v>30</v>
      </c>
      <c r="E8" s="63">
        <f>IF(مساحة_العمل!$AG$25&lt;&gt;210,"",INDEX(مساحة_العمل!E$5:E$24,MATCH($B8,مساحة_العمل!$AG$5:'مساحة_العمل'!$AG$24,0)))</f>
        <v>8</v>
      </c>
      <c r="F8" s="63">
        <f>IF(مساحة_العمل!$AG$25&lt;&gt;210,"",INDEX(مساحة_العمل!F$5:F$24,MATCH($B8,مساحة_العمل!$AG$5:'مساحة_العمل'!$AG$24,0)))</f>
        <v>16</v>
      </c>
      <c r="G8" s="63">
        <f>IF(مساحة_العمل!$AG$25&lt;&gt;210,"",INDEX(مساحة_العمل!G$5:G$24,MATCH($B8,مساحة_العمل!$AG$5:'مساحة_العمل'!$AG$24,0)))</f>
        <v>6</v>
      </c>
      <c r="H8" s="63">
        <f>IF(مساحة_العمل!$AG$25&lt;&gt;210,"",INDEX(مساحة_العمل!H$5:H$24,MATCH($B8,مساحة_العمل!$AG$5:'مساحة_العمل'!$AG$24,0)))</f>
        <v>8</v>
      </c>
      <c r="I8" s="63">
        <f>IF(مساحة_العمل!$AG$25&lt;&gt;210,"",INDEX(مساحة_العمل!I$5:I$24,MATCH($B8,مساحة_العمل!$AG$5:'مساحة_العمل'!$AG$24,0)))</f>
        <v>48</v>
      </c>
      <c r="J8" s="63">
        <f>IF(مساحة_العمل!$AG$25&lt;&gt;210,"",INDEX(مساحة_العمل!J$5:J$24,MATCH($B8,مساحة_العمل!$AG$5:'مساحة_العمل'!$AG$24,0)))</f>
        <v>31</v>
      </c>
      <c r="K8" s="63">
        <f>IF(مساحة_العمل!$AG$25&lt;&gt;210,"",INDEX(مساحة_العمل!K$5:K$24,MATCH($B8,مساحة_العمل!$AG$5:'مساحة_العمل'!$AG$24,0)))</f>
        <v>17</v>
      </c>
      <c r="L8" s="76">
        <f>IF(مساحة_العمل!$AG$25&lt;&gt;210,"",INDEX(مساحة_العمل!L$5:L$24,MATCH($B8,مساحة_العمل!$AG$5:'مساحة_العمل'!$AG$24,0)))</f>
        <v>54</v>
      </c>
      <c r="M8" s="63">
        <f>IF(مساحة_العمل!$AG$25&lt;&gt;210,"",INDEX(مساحة_العمل!M$5:M$24,MATCH($B8,مساحة_العمل!$AG$5:'مساحة_العمل'!$AG$24,0)))</f>
        <v>16</v>
      </c>
      <c r="N8" s="63">
        <f>IF(مساحة_العمل!$AG$25&lt;&gt;210,"",INDEX(مساحة_العمل!N$5:N$24,MATCH($B8,مساحة_العمل!$AG$5:'مساحة_العمل'!$AG$24,0)))</f>
        <v>3</v>
      </c>
      <c r="O8" s="63">
        <f>IF(مساحة_العمل!$AG$25&lt;&gt;210,"",INDEX(مساحة_العمل!O$5:O$24,MATCH($B8,مساحة_العمل!$AG$5:'مساحة_العمل'!$AG$24,0)))</f>
        <v>11</v>
      </c>
      <c r="P8" s="63">
        <f>IF(مساحة_العمل!$AG$25&lt;&gt;210,"",INDEX(مساحة_العمل!P$5:P$24,MATCH($B8,مساحة_العمل!$AG$5:'مساحة_العمل'!$AG$24,0)))</f>
        <v>3</v>
      </c>
      <c r="Q8" s="63">
        <f>IF(مساحة_العمل!$AG$25&lt;&gt;210,"",INDEX(مساحة_العمل!Q$5:Q$24,MATCH($B8,مساحة_العمل!$AG$5:'مساحة_العمل'!$AG$24,0)))</f>
        <v>2</v>
      </c>
      <c r="R8" s="63">
        <f>IF(مساحة_العمل!$AG$25&lt;&gt;210,"",INDEX(مساحة_العمل!R$5:R$24,MATCH($B8,مساحة_العمل!$AG$5:'مساحة_العمل'!$AG$24,0)))</f>
        <v>29</v>
      </c>
      <c r="S8" s="63">
        <f>IF(مساحة_العمل!$AG$25&lt;&gt;210,"",INDEX(مساحة_العمل!S$5:S$24,MATCH($B8,مساحة_العمل!$AG$5:'مساحة_العمل'!$AG$24,0)))</f>
        <v>10</v>
      </c>
      <c r="T8" s="63">
        <f>IF(مساحة_العمل!$AG$25&lt;&gt;210,"",INDEX(مساحة_العمل!T$5:T$24,MATCH($B8,مساحة_العمل!$AG$5:'مساحة_العمل'!$AG$24,0)))</f>
        <v>19</v>
      </c>
      <c r="U8" s="63">
        <f>IF(مساحة_العمل!$AG$25&lt;&gt;210,"",INDEX(مساحة_العمل!U$5:U$24,MATCH($B8,مساحة_العمل!$AG$5:'مساحة_العمل'!$AG$24,0)))</f>
        <v>36</v>
      </c>
      <c r="V8" s="63">
        <f>IF(مساحة_العمل!$AG$25&lt;&gt;210,"",INDEX(مساحة_العمل!V$5:V$24,MATCH($B8,مساحة_العمل!$AG$5:'مساحة_العمل'!$AG$24,0)))</f>
        <v>14</v>
      </c>
      <c r="W8" s="63">
        <f>IF(مساحة_العمل!$AG$25&lt;&gt;210,"",INDEX(مساحة_العمل!W$5:W$24,MATCH($B8,مساحة_العمل!$AG$5:'مساحة_العمل'!$AG$24,0)))</f>
        <v>5</v>
      </c>
      <c r="X8" s="63">
        <f>IF(مساحة_العمل!$AG$25&lt;&gt;210,"",INDEX(مساحة_العمل!X$5:X$24,MATCH($B8,مساحة_العمل!$AG$5:'مساحة_العمل'!$AG$24,0)))</f>
        <v>5</v>
      </c>
      <c r="Y8" s="63">
        <f>IF(مساحة_العمل!$AG$25&lt;&gt;210,"",INDEX(مساحة_العمل!Y$5:Y$24,MATCH($B8,مساحة_العمل!$AG$5:'مساحة_العمل'!$AG$24,0)))</f>
        <v>3</v>
      </c>
      <c r="Z8" s="63">
        <f>IF(مساحة_العمل!$AG$25&lt;&gt;210,"",INDEX(مساحة_العمل!Z$5:Z$24,MATCH($B8,مساحة_العمل!$AG$5:'مساحة_العمل'!$AG$24,0)))</f>
        <v>6</v>
      </c>
      <c r="AA8" s="63">
        <f>IF(مساحة_العمل!$AG$25&lt;&gt;210,"",INDEX(مساحة_العمل!AA$5:AA$24,MATCH($B8,مساحة_العمل!$AG$5:'مساحة_العمل'!$AG$24,0)))</f>
        <v>19</v>
      </c>
      <c r="AB8" s="63">
        <f>IF(مساحة_العمل!$AG$25&lt;&gt;210,"",INDEX(مساحة_العمل!AB$5:AB$24,MATCH($B8,مساحة_العمل!$AG$5:'مساحة_العمل'!$AG$24,0)))</f>
        <v>21</v>
      </c>
      <c r="AC8" s="63">
        <f>IF(مساحة_العمل!$AG$25&lt;&gt;210,"",INDEX(مساحة_العمل!AC$5:AC$24,MATCH($B8,مساحة_العمل!$AG$5:'مساحة_العمل'!$AG$24,0)))</f>
        <v>-2</v>
      </c>
      <c r="AD8" s="64">
        <f>IF(مساحة_العمل!$AG$25&lt;&gt;210,"",INDEX(مساحة_العمل!AD$5:AD$24,MATCH($B8,مساحة_العمل!$AG$5:'مساحة_العمل'!$AG$24,0)))</f>
        <v>18</v>
      </c>
    </row>
    <row r="9" spans="2:30" ht="15" customHeight="1">
      <c r="B9" s="65">
        <f>IF(مساحة_العمل!$AG$25&gt;20,مساحة_العمل!B9,"")</f>
        <v>5</v>
      </c>
      <c r="C9" s="66" t="str">
        <f>IF(مساحة_العمل!$AG$25&lt;&gt;210,"",INDEX(مساحة_العمل!C$5:C$24,MATCH($B9,مساحة_العمل!$AG$5:'مساحة_العمل'!$AG$24,0)))</f>
        <v>اتلتيك بلباو</v>
      </c>
      <c r="D9" s="66">
        <f>IF(مساحة_العمل!$AG$25&lt;&gt;210,"",INDEX(مساحة_العمل!D$5:D$24,MATCH($B9,مساحة_العمل!$AG$5:'مساحة_العمل'!$AG$24,0)))</f>
        <v>30</v>
      </c>
      <c r="E9" s="66">
        <f>IF(مساحة_العمل!$AG$25&lt;&gt;210,"",INDEX(مساحة_العمل!E$5:E$24,MATCH($B9,مساحة_العمل!$AG$5:'مساحة_العمل'!$AG$24,0)))</f>
        <v>8</v>
      </c>
      <c r="F9" s="66">
        <f>IF(مساحة_العمل!$AG$25&lt;&gt;210,"",INDEX(مساحة_العمل!F$5:F$24,MATCH($B9,مساحة_العمل!$AG$5:'مساحة_العمل'!$AG$24,0)))</f>
        <v>14</v>
      </c>
      <c r="G9" s="66">
        <f>IF(مساحة_العمل!$AG$25&lt;&gt;210,"",INDEX(مساحة_العمل!G$5:G$24,MATCH($B9,مساحة_العمل!$AG$5:'مساحة_العمل'!$AG$24,0)))</f>
        <v>3</v>
      </c>
      <c r="H9" s="66">
        <f>IF(مساحة_العمل!$AG$25&lt;&gt;210,"",INDEX(مساحة_العمل!H$5:H$24,MATCH($B9,مساحة_العمل!$AG$5:'مساحة_العمل'!$AG$24,0)))</f>
        <v>13</v>
      </c>
      <c r="I9" s="66">
        <f>IF(مساحة_العمل!$AG$25&lt;&gt;210,"",INDEX(مساحة_العمل!I$5:I$24,MATCH($B9,مساحة_العمل!$AG$5:'مساحة_العمل'!$AG$24,0)))</f>
        <v>47</v>
      </c>
      <c r="J9" s="66">
        <f>IF(مساحة_العمل!$AG$25&lt;&gt;210,"",INDEX(مساحة_العمل!J$5:J$24,MATCH($B9,مساحة_العمل!$AG$5:'مساحة_العمل'!$AG$24,0)))</f>
        <v>42</v>
      </c>
      <c r="K9" s="66">
        <f>IF(مساحة_العمل!$AG$25&lt;&gt;210,"",INDEX(مساحة_العمل!K$5:K$24,MATCH($B9,مساحة_العمل!$AG$5:'مساحة_العمل'!$AG$24,0)))</f>
        <v>5</v>
      </c>
      <c r="L9" s="66">
        <f>IF(مساحة_العمل!$AG$25&lt;&gt;210,"",INDEX(مساحة_العمل!L$5:L$24,MATCH($B9,مساحة_العمل!$AG$5:'مساحة_العمل'!$AG$24,0)))</f>
        <v>45</v>
      </c>
      <c r="M9" s="66">
        <f>IF(مساحة_العمل!$AG$25&lt;&gt;210,"",INDEX(مساحة_العمل!M$5:M$24,MATCH($B9,مساحة_العمل!$AG$5:'مساحة_العمل'!$AG$24,0)))</f>
        <v>15</v>
      </c>
      <c r="N9" s="66">
        <f>IF(مساحة_العمل!$AG$25&lt;&gt;210,"",INDEX(مساحة_العمل!N$5:N$24,MATCH($B9,مساحة_العمل!$AG$5:'مساحة_العمل'!$AG$24,0)))</f>
        <v>4</v>
      </c>
      <c r="O9" s="66">
        <f>IF(مساحة_العمل!$AG$25&lt;&gt;210,"",INDEX(مساحة_العمل!O$5:O$24,MATCH($B9,مساحة_العمل!$AG$5:'مساحة_العمل'!$AG$24,0)))</f>
        <v>10</v>
      </c>
      <c r="P9" s="66">
        <f>IF(مساحة_العمل!$AG$25&lt;&gt;210,"",INDEX(مساحة_العمل!P$5:P$24,MATCH($B9,مساحة_العمل!$AG$5:'مساحة_العمل'!$AG$24,0)))</f>
        <v>0</v>
      </c>
      <c r="Q9" s="66">
        <f>IF(مساحة_العمل!$AG$25&lt;&gt;210,"",INDEX(مساحة_العمل!Q$5:Q$24,MATCH($B9,مساحة_العمل!$AG$5:'مساحة_العمل'!$AG$24,0)))</f>
        <v>5</v>
      </c>
      <c r="R9" s="66">
        <f>IF(مساحة_العمل!$AG$25&lt;&gt;210,"",INDEX(مساحة_العمل!R$5:R$24,MATCH($B9,مساحة_العمل!$AG$5:'مساحة_العمل'!$AG$24,0)))</f>
        <v>26</v>
      </c>
      <c r="S9" s="66">
        <f>IF(مساحة_العمل!$AG$25&lt;&gt;210,"",INDEX(مساحة_العمل!S$5:S$24,MATCH($B9,مساحة_العمل!$AG$5:'مساحة_العمل'!$AG$24,0)))</f>
        <v>13</v>
      </c>
      <c r="T9" s="66">
        <f>IF(مساحة_العمل!$AG$25&lt;&gt;210,"",INDEX(مساحة_العمل!T$5:T$24,MATCH($B9,مساحة_العمل!$AG$5:'مساحة_العمل'!$AG$24,0)))</f>
        <v>13</v>
      </c>
      <c r="U9" s="66">
        <f>IF(مساحة_العمل!$AG$25&lt;&gt;210,"",INDEX(مساحة_العمل!U$5:U$24,MATCH($B9,مساحة_العمل!$AG$5:'مساحة_العمل'!$AG$24,0)))</f>
        <v>30</v>
      </c>
      <c r="V9" s="66">
        <f>IF(مساحة_العمل!$AG$25&lt;&gt;210,"",INDEX(مساحة_العمل!V$5:V$24,MATCH($B9,مساحة_العمل!$AG$5:'مساحة_العمل'!$AG$24,0)))</f>
        <v>15</v>
      </c>
      <c r="W9" s="66">
        <f>IF(مساحة_العمل!$AG$25&lt;&gt;210,"",INDEX(مساحة_العمل!W$5:W$24,MATCH($B9,مساحة_العمل!$AG$5:'مساحة_العمل'!$AG$24,0)))</f>
        <v>4</v>
      </c>
      <c r="X9" s="66">
        <f>IF(مساحة_العمل!$AG$25&lt;&gt;210,"",INDEX(مساحة_العمل!X$5:X$24,MATCH($B9,مساحة_العمل!$AG$5:'مساحة_العمل'!$AG$24,0)))</f>
        <v>4</v>
      </c>
      <c r="Y9" s="66">
        <f>IF(مساحة_العمل!$AG$25&lt;&gt;210,"",INDEX(مساحة_العمل!Y$5:Y$24,MATCH($B9,مساحة_العمل!$AG$5:'مساحة_العمل'!$AG$24,0)))</f>
        <v>3</v>
      </c>
      <c r="Z9" s="66">
        <f>IF(مساحة_العمل!$AG$25&lt;&gt;210,"",INDEX(مساحة_العمل!Z$5:Z$24,MATCH($B9,مساحة_العمل!$AG$5:'مساحة_العمل'!$AG$24,0)))</f>
        <v>8</v>
      </c>
      <c r="AA9" s="66">
        <f>IF(مساحة_العمل!$AG$25&lt;&gt;210,"",INDEX(مساحة_العمل!AA$5:AA$24,MATCH($B9,مساحة_العمل!$AG$5:'مساحة_العمل'!$AG$24,0)))</f>
        <v>21</v>
      </c>
      <c r="AB9" s="66">
        <f>IF(مساحة_العمل!$AG$25&lt;&gt;210,"",INDEX(مساحة_العمل!AB$5:AB$24,MATCH($B9,مساحة_العمل!$AG$5:'مساحة_العمل'!$AG$24,0)))</f>
        <v>29</v>
      </c>
      <c r="AC9" s="66">
        <f>IF(مساحة_العمل!$AG$25&lt;&gt;210,"",INDEX(مساحة_العمل!AC$5:AC$24,MATCH($B9,مساحة_العمل!$AG$5:'مساحة_العمل'!$AG$24,0)))</f>
        <v>-8</v>
      </c>
      <c r="AD9" s="67">
        <f>IF(مساحة_العمل!$AG$25&lt;&gt;210,"",INDEX(مساحة_العمل!AD$5:AD$24,MATCH($B9,مساحة_العمل!$AG$5:'مساحة_العمل'!$AG$24,0)))</f>
        <v>15</v>
      </c>
    </row>
    <row r="10" spans="2:30" ht="15" customHeight="1">
      <c r="B10" s="65">
        <f>IF(مساحة_العمل!$AG$25&gt;20,مساحة_العمل!B10,"")</f>
        <v>6</v>
      </c>
      <c r="C10" s="66" t="str">
        <f>IF(مساحة_العمل!$AG$25&lt;&gt;210,"",INDEX(مساحة_العمل!C$5:C$24,MATCH($B10,مساحة_العمل!$AG$5:'مساحة_العمل'!$AG$24,0)))</f>
        <v>اشبيلية</v>
      </c>
      <c r="D10" s="66">
        <f>IF(مساحة_العمل!$AG$25&lt;&gt;210,"",INDEX(مساحة_العمل!D$5:D$24,MATCH($B10,مساحة_العمل!$AG$5:'مساحة_العمل'!$AG$24,0)))</f>
        <v>30</v>
      </c>
      <c r="E10" s="66">
        <f>IF(مساحة_العمل!$AG$25&lt;&gt;210,"",INDEX(مساحة_العمل!E$5:E$24,MATCH($B10,مساحة_العمل!$AG$5:'مساحة_العمل'!$AG$24,0)))</f>
        <v>8</v>
      </c>
      <c r="F10" s="66">
        <f>IF(مساحة_العمل!$AG$25&lt;&gt;210,"",INDEX(مساحة_العمل!F$5:F$24,MATCH($B10,مساحة_العمل!$AG$5:'مساحة_العمل'!$AG$24,0)))</f>
        <v>13</v>
      </c>
      <c r="G10" s="66">
        <f>IF(مساحة_العمل!$AG$25&lt;&gt;210,"",INDEX(مساحة_العمل!G$5:G$24,MATCH($B10,مساحة_العمل!$AG$5:'مساحة_العمل'!$AG$24,0)))</f>
        <v>6</v>
      </c>
      <c r="H10" s="66">
        <f>IF(مساحة_العمل!$AG$25&lt;&gt;210,"",INDEX(مساحة_العمل!H$5:H$24,MATCH($B10,مساحة_العمل!$AG$5:'مساحة_العمل'!$AG$24,0)))</f>
        <v>11</v>
      </c>
      <c r="I10" s="66">
        <f>IF(مساحة_العمل!$AG$25&lt;&gt;210,"",INDEX(مساحة_العمل!I$5:I$24,MATCH($B10,مساحة_العمل!$AG$5:'مساحة_العمل'!$AG$24,0)))</f>
        <v>46</v>
      </c>
      <c r="J10" s="66">
        <f>IF(مساحة_العمل!$AG$25&lt;&gt;210,"",INDEX(مساحة_العمل!J$5:J$24,MATCH($B10,مساحة_العمل!$AG$5:'مساحة_العمل'!$AG$24,0)))</f>
        <v>44</v>
      </c>
      <c r="K10" s="66">
        <f>IF(مساحة_العمل!$AG$25&lt;&gt;210,"",INDEX(مساحة_العمل!K$5:K$24,MATCH($B10,مساحة_العمل!$AG$5:'مساحة_العمل'!$AG$24,0)))</f>
        <v>2</v>
      </c>
      <c r="L10" s="66">
        <f>IF(مساحة_العمل!$AG$25&lt;&gt;210,"",INDEX(مساحة_العمل!L$5:L$24,MATCH($B10,مساحة_العمل!$AG$5:'مساحة_العمل'!$AG$24,0)))</f>
        <v>45</v>
      </c>
      <c r="M10" s="66">
        <f>IF(مساحة_العمل!$AG$25&lt;&gt;210,"",INDEX(مساحة_العمل!M$5:M$24,MATCH($B10,مساحة_العمل!$AG$5:'مساحة_العمل'!$AG$24,0)))</f>
        <v>16</v>
      </c>
      <c r="N10" s="66">
        <f>IF(مساحة_العمل!$AG$25&lt;&gt;210,"",INDEX(مساحة_العمل!N$5:N$24,MATCH($B10,مساحة_العمل!$AG$5:'مساحة_العمل'!$AG$24,0)))</f>
        <v>3</v>
      </c>
      <c r="O10" s="66">
        <f>IF(مساحة_العمل!$AG$25&lt;&gt;210,"",INDEX(مساحة_العمل!O$5:O$24,MATCH($B10,مساحة_العمل!$AG$5:'مساحة_العمل'!$AG$24,0)))</f>
        <v>8</v>
      </c>
      <c r="P10" s="66">
        <f>IF(مساحة_العمل!$AG$25&lt;&gt;210,"",INDEX(مساحة_العمل!P$5:P$24,MATCH($B10,مساحة_العمل!$AG$5:'مساحة_العمل'!$AG$24,0)))</f>
        <v>4</v>
      </c>
      <c r="Q10" s="66">
        <f>IF(مساحة_العمل!$AG$25&lt;&gt;210,"",INDEX(مساحة_العمل!Q$5:Q$24,MATCH($B10,مساحة_العمل!$AG$5:'مساحة_العمل'!$AG$24,0)))</f>
        <v>4</v>
      </c>
      <c r="R10" s="66">
        <f>IF(مساحة_العمل!$AG$25&lt;&gt;210,"",INDEX(مساحة_العمل!R$5:R$24,MATCH($B10,مساحة_العمل!$AG$5:'مساحة_العمل'!$AG$24,0)))</f>
        <v>27</v>
      </c>
      <c r="S10" s="66">
        <f>IF(مساحة_العمل!$AG$25&lt;&gt;210,"",INDEX(مساحة_العمل!S$5:S$24,MATCH($B10,مساحة_العمل!$AG$5:'مساحة_العمل'!$AG$24,0)))</f>
        <v>18</v>
      </c>
      <c r="T10" s="66">
        <f>IF(مساحة_العمل!$AG$25&lt;&gt;210,"",INDEX(مساحة_العمل!T$5:T$24,MATCH($B10,مساحة_العمل!$AG$5:'مساحة_العمل'!$AG$24,0)))</f>
        <v>9</v>
      </c>
      <c r="U10" s="78">
        <f>IF(مساحة_العمل!$AG$25&lt;&gt;210,"",INDEX(مساحة_العمل!U$5:U$24,MATCH($B10,مساحة_العمل!$AG$5:'مساحة_العمل'!$AG$24,0)))</f>
        <v>28</v>
      </c>
      <c r="V10" s="66">
        <f>IF(مساحة_العمل!$AG$25&lt;&gt;210,"",INDEX(مساحة_العمل!V$5:V$24,MATCH($B10,مساحة_العمل!$AG$5:'مساحة_العمل'!$AG$24,0)))</f>
        <v>14</v>
      </c>
      <c r="W10" s="66">
        <f>IF(مساحة_العمل!$AG$25&lt;&gt;210,"",INDEX(مساحة_العمل!W$5:W$24,MATCH($B10,مساحة_العمل!$AG$5:'مساحة_العمل'!$AG$24,0)))</f>
        <v>5</v>
      </c>
      <c r="X10" s="66">
        <f>IF(مساحة_العمل!$AG$25&lt;&gt;210,"",INDEX(مساحة_العمل!X$5:X$24,MATCH($B10,مساحة_العمل!$AG$5:'مساحة_العمل'!$AG$24,0)))</f>
        <v>5</v>
      </c>
      <c r="Y10" s="66">
        <f>IF(مساحة_العمل!$AG$25&lt;&gt;210,"",INDEX(مساحة_العمل!Y$5:Y$24,MATCH($B10,مساحة_العمل!$AG$5:'مساحة_العمل'!$AG$24,0)))</f>
        <v>2</v>
      </c>
      <c r="Z10" s="66">
        <f>IF(مساحة_العمل!$AG$25&lt;&gt;210,"",INDEX(مساحة_العمل!Z$5:Z$24,MATCH($B10,مساحة_العمل!$AG$5:'مساحة_العمل'!$AG$24,0)))</f>
        <v>7</v>
      </c>
      <c r="AA10" s="66">
        <f>IF(مساحة_العمل!$AG$25&lt;&gt;210,"",INDEX(مساحة_العمل!AA$5:AA$24,MATCH($B10,مساحة_العمل!$AG$5:'مساحة_العمل'!$AG$24,0)))</f>
        <v>19</v>
      </c>
      <c r="AB10" s="66">
        <f>IF(مساحة_العمل!$AG$25&lt;&gt;210,"",INDEX(مساحة_العمل!AB$5:AB$24,MATCH($B10,مساحة_العمل!$AG$5:'مساحة_العمل'!$AG$24,0)))</f>
        <v>26</v>
      </c>
      <c r="AC10" s="66">
        <f>IF(مساحة_العمل!$AG$25&lt;&gt;210,"",INDEX(مساحة_العمل!AC$5:AC$24,MATCH($B10,مساحة_العمل!$AG$5:'مساحة_العمل'!$AG$24,0)))</f>
        <v>-7</v>
      </c>
      <c r="AD10" s="67">
        <f>IF(مساحة_العمل!$AG$25&lt;&gt;210,"",INDEX(مساحة_العمل!AD$5:AD$24,MATCH($B10,مساحة_العمل!$AG$5:'مساحة_العمل'!$AG$24,0)))</f>
        <v>17</v>
      </c>
    </row>
    <row r="11" spans="2:30" ht="15" customHeight="1">
      <c r="B11" s="65">
        <f>IF(مساحة_العمل!$AG$25&gt;20,مساحة_العمل!B11,"")</f>
        <v>7</v>
      </c>
      <c r="C11" s="66" t="str">
        <f>IF(مساحة_العمل!$AG$25&lt;&gt;210,"",INDEX(مساحة_العمل!C$5:C$24,MATCH($B11,مساحة_العمل!$AG$5:'مساحة_العمل'!$AG$24,0)))</f>
        <v>اسبانيول</v>
      </c>
      <c r="D11" s="66">
        <f>IF(مساحة_العمل!$AG$25&lt;&gt;210,"",INDEX(مساحة_العمل!D$5:D$24,MATCH($B11,مساحة_العمل!$AG$5:'مساحة_العمل'!$AG$24,0)))</f>
        <v>30</v>
      </c>
      <c r="E11" s="66">
        <f>IF(مساحة_العمل!$AG$25&lt;&gt;210,"",INDEX(مساحة_العمل!E$5:E$24,MATCH($B11,مساحة_العمل!$AG$5:'مساحة_العمل'!$AG$24,0)))</f>
        <v>8</v>
      </c>
      <c r="F11" s="66">
        <f>IF(مساحة_العمل!$AG$25&lt;&gt;210,"",INDEX(مساحة_العمل!F$5:F$24,MATCH($B11,مساحة_العمل!$AG$5:'مساحة_العمل'!$AG$24,0)))</f>
        <v>14</v>
      </c>
      <c r="G11" s="66">
        <f>IF(مساحة_العمل!$AG$25&lt;&gt;210,"",INDEX(مساحة_العمل!G$5:G$24,MATCH($B11,مساحة_العمل!$AG$5:'مساحة_العمل'!$AG$24,0)))</f>
        <v>1</v>
      </c>
      <c r="H11" s="66">
        <f>IF(مساحة_العمل!$AG$25&lt;&gt;210,"",INDEX(مساحة_العمل!H$5:H$24,MATCH($B11,مساحة_العمل!$AG$5:'مساحة_العمل'!$AG$24,0)))</f>
        <v>15</v>
      </c>
      <c r="I11" s="66">
        <f>IF(مساحة_العمل!$AG$25&lt;&gt;210,"",INDEX(مساحة_العمل!I$5:I$24,MATCH($B11,مساحة_العمل!$AG$5:'مساحة_العمل'!$AG$24,0)))</f>
        <v>38</v>
      </c>
      <c r="J11" s="66">
        <f>IF(مساحة_العمل!$AG$25&lt;&gt;210,"",INDEX(مساحة_العمل!J$5:J$24,MATCH($B11,مساحة_العمل!$AG$5:'مساحة_العمل'!$AG$24,0)))</f>
        <v>43</v>
      </c>
      <c r="K11" s="66">
        <f>IF(مساحة_العمل!$AG$25&lt;&gt;210,"",INDEX(مساحة_العمل!K$5:K$24,MATCH($B11,مساحة_العمل!$AG$5:'مساحة_العمل'!$AG$24,0)))</f>
        <v>-5</v>
      </c>
      <c r="L11" s="66">
        <f>IF(مساحة_العمل!$AG$25&lt;&gt;210,"",INDEX(مساحة_العمل!L$5:L$24,MATCH($B11,مساحة_العمل!$AG$5:'مساحة_العمل'!$AG$24,0)))</f>
        <v>43</v>
      </c>
      <c r="M11" s="66">
        <f>IF(مساحة_العمل!$AG$25&lt;&gt;210,"",INDEX(مساحة_العمل!M$5:M$24,MATCH($B11,مساحة_العمل!$AG$5:'مساحة_العمل'!$AG$24,0)))</f>
        <v>15</v>
      </c>
      <c r="N11" s="66">
        <f>IF(مساحة_العمل!$AG$25&lt;&gt;210,"",INDEX(مساحة_العمل!N$5:N$24,MATCH($B11,مساحة_العمل!$AG$5:'مساحة_العمل'!$AG$24,0)))</f>
        <v>4</v>
      </c>
      <c r="O11" s="66">
        <f>IF(مساحة_العمل!$AG$25&lt;&gt;210,"",INDEX(مساحة_العمل!O$5:O$24,MATCH($B11,مساحة_العمل!$AG$5:'مساحة_العمل'!$AG$24,0)))</f>
        <v>10</v>
      </c>
      <c r="P11" s="66">
        <f>IF(مساحة_العمل!$AG$25&lt;&gt;210,"",INDEX(مساحة_العمل!P$5:P$24,MATCH($B11,مساحة_العمل!$AG$5:'مساحة_العمل'!$AG$24,0)))</f>
        <v>0</v>
      </c>
      <c r="Q11" s="66">
        <f>IF(مساحة_العمل!$AG$25&lt;&gt;210,"",INDEX(مساحة_العمل!Q$5:Q$24,MATCH($B11,مساحة_العمل!$AG$5:'مساحة_العمل'!$AG$24,0)))</f>
        <v>5</v>
      </c>
      <c r="R11" s="66">
        <f>IF(مساحة_العمل!$AG$25&lt;&gt;210,"",INDEX(مساحة_العمل!R$5:R$24,MATCH($B11,مساحة_العمل!$AG$5:'مساحة_العمل'!$AG$24,0)))</f>
        <v>25</v>
      </c>
      <c r="S11" s="66">
        <f>IF(مساحة_العمل!$AG$25&lt;&gt;210,"",INDEX(مساحة_العمل!S$5:S$24,MATCH($B11,مساحة_العمل!$AG$5:'مساحة_العمل'!$AG$24,0)))</f>
        <v>14</v>
      </c>
      <c r="T11" s="66">
        <f>IF(مساحة_العمل!$AG$25&lt;&gt;210,"",INDEX(مساحة_العمل!T$5:T$24,MATCH($B11,مساحة_العمل!$AG$5:'مساحة_العمل'!$AG$24,0)))</f>
        <v>11</v>
      </c>
      <c r="U11" s="66">
        <f>IF(مساحة_العمل!$AG$25&lt;&gt;210,"",INDEX(مساحة_العمل!U$5:U$24,MATCH($B11,مساحة_العمل!$AG$5:'مساحة_العمل'!$AG$24,0)))</f>
        <v>30</v>
      </c>
      <c r="V11" s="66">
        <f>IF(مساحة_العمل!$AG$25&lt;&gt;210,"",INDEX(مساحة_العمل!V$5:V$24,MATCH($B11,مساحة_العمل!$AG$5:'مساحة_العمل'!$AG$24,0)))</f>
        <v>15</v>
      </c>
      <c r="W11" s="66">
        <f>IF(مساحة_العمل!$AG$25&lt;&gt;210,"",INDEX(مساحة_العمل!W$5:W$24,MATCH($B11,مساحة_العمل!$AG$5:'مساحة_العمل'!$AG$24,0)))</f>
        <v>4</v>
      </c>
      <c r="X11" s="66">
        <f>IF(مساحة_العمل!$AG$25&lt;&gt;210,"",INDEX(مساحة_العمل!X$5:X$24,MATCH($B11,مساحة_العمل!$AG$5:'مساحة_العمل'!$AG$24,0)))</f>
        <v>4</v>
      </c>
      <c r="Y11" s="66">
        <f>IF(مساحة_العمل!$AG$25&lt;&gt;210,"",INDEX(مساحة_العمل!Y$5:Y$24,MATCH($B11,مساحة_العمل!$AG$5:'مساحة_العمل'!$AG$24,0)))</f>
        <v>1</v>
      </c>
      <c r="Z11" s="66">
        <f>IF(مساحة_العمل!$AG$25&lt;&gt;210,"",INDEX(مساحة_العمل!Z$5:Z$24,MATCH($B11,مساحة_العمل!$AG$5:'مساحة_العمل'!$AG$24,0)))</f>
        <v>10</v>
      </c>
      <c r="AA11" s="66">
        <f>IF(مساحة_العمل!$AG$25&lt;&gt;210,"",INDEX(مساحة_العمل!AA$5:AA$24,MATCH($B11,مساحة_العمل!$AG$5:'مساحة_العمل'!$AG$24,0)))</f>
        <v>13</v>
      </c>
      <c r="AB11" s="66">
        <f>IF(مساحة_العمل!$AG$25&lt;&gt;210,"",INDEX(مساحة_العمل!AB$5:AB$24,MATCH($B11,مساحة_العمل!$AG$5:'مساحة_العمل'!$AG$24,0)))</f>
        <v>29</v>
      </c>
      <c r="AC11" s="66">
        <f>IF(مساحة_العمل!$AG$25&lt;&gt;210,"",INDEX(مساحة_العمل!AC$5:AC$24,MATCH($B11,مساحة_العمل!$AG$5:'مساحة_العمل'!$AG$24,0)))</f>
        <v>-16</v>
      </c>
      <c r="AD11" s="67">
        <f>IF(مساحة_العمل!$AG$25&lt;&gt;210,"",INDEX(مساحة_العمل!AD$5:AD$24,MATCH($B11,مساحة_العمل!$AG$5:'مساحة_العمل'!$AG$24,0)))</f>
        <v>13</v>
      </c>
    </row>
    <row r="12" spans="2:30" ht="15" customHeight="1">
      <c r="B12" s="15">
        <f>IF(مساحة_العمل!$AG$25&gt;20,مساحة_العمل!B12,"")</f>
        <v>8</v>
      </c>
      <c r="C12" s="14" t="str">
        <f>IF(مساحة_العمل!$AG$25&lt;&gt;210,"",INDEX(مساحة_العمل!C$5:C$24,MATCH($B12,مساحة_العمل!$AG$5:'مساحة_العمل'!$AG$24,0)))</f>
        <v>اتلتيكو مدريد</v>
      </c>
      <c r="D12" s="14">
        <f>IF(مساحة_العمل!$AG$25&lt;&gt;210,"",INDEX(مساحة_العمل!D$5:D$24,MATCH($B12,مساحة_العمل!$AG$5:'مساحة_العمل'!$AG$24,0)))</f>
        <v>30</v>
      </c>
      <c r="E12" s="14">
        <f>IF(مساحة_العمل!$AG$25&lt;&gt;210,"",INDEX(مساحة_العمل!E$5:E$24,MATCH($B12,مساحة_العمل!$AG$5:'مساحة_العمل'!$AG$24,0)))</f>
        <v>8</v>
      </c>
      <c r="F12" s="14">
        <f>IF(مساحة_العمل!$AG$25&lt;&gt;210,"",INDEX(مساحة_العمل!F$5:F$24,MATCH($B12,مساحة_العمل!$AG$5:'مساحة_العمل'!$AG$24,0)))</f>
        <v>12</v>
      </c>
      <c r="G12" s="14">
        <f>IF(مساحة_العمل!$AG$25&lt;&gt;210,"",INDEX(مساحة_العمل!G$5:G$24,MATCH($B12,مساحة_العمل!$AG$5:'مساحة_العمل'!$AG$24,0)))</f>
        <v>6</v>
      </c>
      <c r="H12" s="14">
        <f>IF(مساحة_العمل!$AG$25&lt;&gt;210,"",INDEX(مساحة_العمل!H$5:H$24,MATCH($B12,مساحة_العمل!$AG$5:'مساحة_العمل'!$AG$24,0)))</f>
        <v>12</v>
      </c>
      <c r="I12" s="14">
        <f>IF(مساحة_العمل!$AG$25&lt;&gt;210,"",INDEX(مساحة_العمل!I$5:I$24,MATCH($B12,مساحة_العمل!$AG$5:'مساحة_العمل'!$AG$24,0)))</f>
        <v>45</v>
      </c>
      <c r="J12" s="14">
        <f>IF(مساحة_العمل!$AG$25&lt;&gt;210,"",INDEX(مساحة_العمل!J$5:J$24,MATCH($B12,مساحة_العمل!$AG$5:'مساحة_العمل'!$AG$24,0)))</f>
        <v>41</v>
      </c>
      <c r="K12" s="14">
        <f>IF(مساحة_العمل!$AG$25&lt;&gt;210,"",INDEX(مساحة_العمل!K$5:K$24,MATCH($B12,مساحة_العمل!$AG$5:'مساحة_العمل'!$AG$24,0)))</f>
        <v>4</v>
      </c>
      <c r="L12" s="14">
        <f>IF(مساحة_العمل!$AG$25&lt;&gt;210,"",INDEX(مساحة_العمل!L$5:L$24,MATCH($B12,مساحة_العمل!$AG$5:'مساحة_العمل'!$AG$24,0)))</f>
        <v>42</v>
      </c>
      <c r="M12" s="14">
        <f>IF(مساحة_العمل!$AG$25&lt;&gt;210,"",INDEX(مساحة_العمل!M$5:M$24,MATCH($B12,مساحة_العمل!$AG$5:'مساحة_العمل'!$AG$24,0)))</f>
        <v>15</v>
      </c>
      <c r="N12" s="14">
        <f>IF(مساحة_العمل!$AG$25&lt;&gt;210,"",INDEX(مساحة_العمل!N$5:N$24,MATCH($B12,مساحة_العمل!$AG$5:'مساحة_العمل'!$AG$24,0)))</f>
        <v>4</v>
      </c>
      <c r="O12" s="14">
        <f>IF(مساحة_العمل!$AG$25&lt;&gt;210,"",INDEX(مساحة_العمل!O$5:O$24,MATCH($B12,مساحة_العمل!$AG$5:'مساحة_العمل'!$AG$24,0)))</f>
        <v>7</v>
      </c>
      <c r="P12" s="14">
        <f>IF(مساحة_العمل!$AG$25&lt;&gt;210,"",INDEX(مساحة_العمل!P$5:P$24,MATCH($B12,مساحة_العمل!$AG$5:'مساحة_العمل'!$AG$24,0)))</f>
        <v>3</v>
      </c>
      <c r="Q12" s="14">
        <f>IF(مساحة_العمل!$AG$25&lt;&gt;210,"",INDEX(مساحة_العمل!Q$5:Q$24,MATCH($B12,مساحة_العمل!$AG$5:'مساحة_العمل'!$AG$24,0)))</f>
        <v>5</v>
      </c>
      <c r="R12" s="14">
        <f>IF(مساحة_العمل!$AG$25&lt;&gt;210,"",INDEX(مساحة_العمل!R$5:R$24,MATCH($B12,مساحة_العمل!$AG$5:'مساحة_العمل'!$AG$24,0)))</f>
        <v>26</v>
      </c>
      <c r="S12" s="14">
        <f>IF(مساحة_العمل!$AG$25&lt;&gt;210,"",INDEX(مساحة_العمل!S$5:S$24,MATCH($B12,مساحة_العمل!$AG$5:'مساحة_العمل'!$AG$24,0)))</f>
        <v>15</v>
      </c>
      <c r="T12" s="14">
        <f>IF(مساحة_العمل!$AG$25&lt;&gt;210,"",INDEX(مساحة_العمل!T$5:T$24,MATCH($B12,مساحة_العمل!$AG$5:'مساحة_العمل'!$AG$24,0)))</f>
        <v>11</v>
      </c>
      <c r="U12" s="14">
        <f>IF(مساحة_العمل!$AG$25&lt;&gt;210,"",INDEX(مساحة_العمل!U$5:U$24,MATCH($B12,مساحة_العمل!$AG$5:'مساحة_العمل'!$AG$24,0)))</f>
        <v>24</v>
      </c>
      <c r="V12" s="14">
        <f>IF(مساحة_العمل!$AG$25&lt;&gt;210,"",INDEX(مساحة_العمل!V$5:V$24,MATCH($B12,مساحة_العمل!$AG$5:'مساحة_العمل'!$AG$24,0)))</f>
        <v>15</v>
      </c>
      <c r="W12" s="14">
        <f>IF(مساحة_العمل!$AG$25&lt;&gt;210,"",INDEX(مساحة_العمل!W$5:W$24,MATCH($B12,مساحة_العمل!$AG$5:'مساحة_العمل'!$AG$24,0)))</f>
        <v>4</v>
      </c>
      <c r="X12" s="14">
        <f>IF(مساحة_العمل!$AG$25&lt;&gt;210,"",INDEX(مساحة_العمل!X$5:X$24,MATCH($B12,مساحة_العمل!$AG$5:'مساحة_العمل'!$AG$24,0)))</f>
        <v>5</v>
      </c>
      <c r="Y12" s="14">
        <f>IF(مساحة_العمل!$AG$25&lt;&gt;210,"",INDEX(مساحة_العمل!Y$5:Y$24,MATCH($B12,مساحة_العمل!$AG$5:'مساحة_العمل'!$AG$24,0)))</f>
        <v>3</v>
      </c>
      <c r="Z12" s="14">
        <f>IF(مساحة_العمل!$AG$25&lt;&gt;210,"",INDEX(مساحة_العمل!Z$5:Z$24,MATCH($B12,مساحة_العمل!$AG$5:'مساحة_العمل'!$AG$24,0)))</f>
        <v>7</v>
      </c>
      <c r="AA12" s="14">
        <f>IF(مساحة_العمل!$AG$25&lt;&gt;210,"",INDEX(مساحة_العمل!AA$5:AA$24,MATCH($B12,مساحة_العمل!$AG$5:'مساحة_العمل'!$AG$24,0)))</f>
        <v>19</v>
      </c>
      <c r="AB12" s="14">
        <f>IF(مساحة_العمل!$AG$25&lt;&gt;210,"",INDEX(مساحة_العمل!AB$5:AB$24,MATCH($B12,مساحة_العمل!$AG$5:'مساحة_العمل'!$AG$24,0)))</f>
        <v>26</v>
      </c>
      <c r="AC12" s="14">
        <f>IF(مساحة_العمل!$AG$25&lt;&gt;210,"",INDEX(مساحة_العمل!AC$5:AC$24,MATCH($B12,مساحة_العمل!$AG$5:'مساحة_العمل'!$AG$24,0)))</f>
        <v>-7</v>
      </c>
      <c r="AD12" s="16">
        <f>IF(مساحة_العمل!$AG$25&lt;&gt;210,"",INDEX(مساحة_العمل!AD$5:AD$24,MATCH($B12,مساحة_العمل!$AG$5:'مساحة_العمل'!$AG$24,0)))</f>
        <v>18</v>
      </c>
    </row>
    <row r="13" spans="2:30" ht="15" customHeight="1">
      <c r="B13" s="15">
        <f>IF(مساحة_العمل!$AG$25&gt;20,مساحة_العمل!B13,"")</f>
        <v>9</v>
      </c>
      <c r="C13" s="14" t="str">
        <f>IF(مساحة_العمل!$AG$25&lt;&gt;210,"",INDEX(مساحة_العمل!C$5:C$24,MATCH($B13,مساحة_العمل!$AG$5:'مساحة_العمل'!$AG$24,0)))</f>
        <v>ليفانتي</v>
      </c>
      <c r="D13" s="14">
        <f>IF(مساحة_العمل!$AG$25&lt;&gt;210,"",INDEX(مساحة_العمل!D$5:D$24,MATCH($B13,مساحة_العمل!$AG$5:'مساحة_العمل'!$AG$24,0)))</f>
        <v>30</v>
      </c>
      <c r="E13" s="14">
        <f>IF(مساحة_العمل!$AG$25&lt;&gt;210,"",INDEX(مساحة_العمل!E$5:E$24,MATCH($B13,مساحة_العمل!$AG$5:'مساحة_العمل'!$AG$24,0)))</f>
        <v>8</v>
      </c>
      <c r="F13" s="14">
        <f>IF(مساحة_العمل!$AG$25&lt;&gt;210,"",INDEX(مساحة_العمل!F$5:F$24,MATCH($B13,مساحة_العمل!$AG$5:'مساحة_العمل'!$AG$24,0)))</f>
        <v>11</v>
      </c>
      <c r="G13" s="14">
        <f>IF(مساحة_العمل!$AG$25&lt;&gt;210,"",INDEX(مساحة_العمل!G$5:G$24,MATCH($B13,مساحة_العمل!$AG$5:'مساحة_العمل'!$AG$24,0)))</f>
        <v>5</v>
      </c>
      <c r="H13" s="14">
        <f>IF(مساحة_العمل!$AG$25&lt;&gt;210,"",INDEX(مساحة_العمل!H$5:H$24,MATCH($B13,مساحة_العمل!$AG$5:'مساحة_العمل'!$AG$24,0)))</f>
        <v>14</v>
      </c>
      <c r="I13" s="14">
        <f>IF(مساحة_العمل!$AG$25&lt;&gt;210,"",INDEX(مساحة_العمل!I$5:I$24,MATCH($B13,مساحة_العمل!$AG$5:'مساحة_العمل'!$AG$24,0)))</f>
        <v>33</v>
      </c>
      <c r="J13" s="14">
        <f>IF(مساحة_العمل!$AG$25&lt;&gt;210,"",INDEX(مساحة_العمل!J$5:J$24,MATCH($B13,مساحة_العمل!$AG$5:'مساحة_العمل'!$AG$24,0)))</f>
        <v>40</v>
      </c>
      <c r="K13" s="14">
        <f>IF(مساحة_العمل!$AG$25&lt;&gt;210,"",INDEX(مساحة_العمل!K$5:K$24,MATCH($B13,مساحة_العمل!$AG$5:'مساحة_العمل'!$AG$24,0)))</f>
        <v>-7</v>
      </c>
      <c r="L13" s="14">
        <f>IF(مساحة_العمل!$AG$25&lt;&gt;210,"",INDEX(مساحة_العمل!L$5:L$24,MATCH($B13,مساحة_العمل!$AG$5:'مساحة_العمل'!$AG$24,0)))</f>
        <v>38</v>
      </c>
      <c r="M13" s="14">
        <f>IF(مساحة_العمل!$AG$25&lt;&gt;210,"",INDEX(مساحة_العمل!M$5:M$24,MATCH($B13,مساحة_العمل!$AG$5:'مساحة_العمل'!$AG$24,0)))</f>
        <v>15</v>
      </c>
      <c r="N13" s="14">
        <f>IF(مساحة_العمل!$AG$25&lt;&gt;210,"",INDEX(مساحة_العمل!N$5:N$24,MATCH($B13,مساحة_العمل!$AG$5:'مساحة_العمل'!$AG$24,0)))</f>
        <v>4</v>
      </c>
      <c r="O13" s="14">
        <f>IF(مساحة_العمل!$AG$25&lt;&gt;210,"",INDEX(مساحة_العمل!O$5:O$24,MATCH($B13,مساحة_العمل!$AG$5:'مساحة_العمل'!$AG$24,0)))</f>
        <v>8</v>
      </c>
      <c r="P13" s="14">
        <f>IF(مساحة_العمل!$AG$25&lt;&gt;210,"",INDEX(مساحة_العمل!P$5:P$24,MATCH($B13,مساحة_العمل!$AG$5:'مساحة_العمل'!$AG$24,0)))</f>
        <v>2</v>
      </c>
      <c r="Q13" s="14">
        <f>IF(مساحة_العمل!$AG$25&lt;&gt;210,"",INDEX(مساحة_العمل!Q$5:Q$24,MATCH($B13,مساحة_العمل!$AG$5:'مساحة_العمل'!$AG$24,0)))</f>
        <v>5</v>
      </c>
      <c r="R13" s="14">
        <f>IF(مساحة_العمل!$AG$25&lt;&gt;210,"",INDEX(مساحة_العمل!R$5:R$24,MATCH($B13,مساحة_العمل!$AG$5:'مساحة_العمل'!$AG$24,0)))</f>
        <v>21</v>
      </c>
      <c r="S13" s="14">
        <f>IF(مساحة_العمل!$AG$25&lt;&gt;210,"",INDEX(مساحة_العمل!S$5:S$24,MATCH($B13,مساحة_العمل!$AG$5:'مساحة_العمل'!$AG$24,0)))</f>
        <v>16</v>
      </c>
      <c r="T13" s="14">
        <f>IF(مساحة_العمل!$AG$25&lt;&gt;210,"",INDEX(مساحة_العمل!T$5:T$24,MATCH($B13,مساحة_العمل!$AG$5:'مساحة_العمل'!$AG$24,0)))</f>
        <v>5</v>
      </c>
      <c r="U13" s="14">
        <f>IF(مساحة_العمل!$AG$25&lt;&gt;210,"",INDEX(مساحة_العمل!U$5:U$24,MATCH($B13,مساحة_العمل!$AG$5:'مساحة_العمل'!$AG$24,0)))</f>
        <v>26</v>
      </c>
      <c r="V13" s="14">
        <f>IF(مساحة_العمل!$AG$25&lt;&gt;210,"",INDEX(مساحة_العمل!V$5:V$24,MATCH($B13,مساحة_العمل!$AG$5:'مساحة_العمل'!$AG$24,0)))</f>
        <v>15</v>
      </c>
      <c r="W13" s="14">
        <f>IF(مساحة_العمل!$AG$25&lt;&gt;210,"",INDEX(مساحة_العمل!W$5:W$24,MATCH($B13,مساحة_العمل!$AG$5:'مساحة_العمل'!$AG$24,0)))</f>
        <v>4</v>
      </c>
      <c r="X13" s="14">
        <f>IF(مساحة_العمل!$AG$25&lt;&gt;210,"",INDEX(مساحة_العمل!X$5:X$24,MATCH($B13,مساحة_العمل!$AG$5:'مساحة_العمل'!$AG$24,0)))</f>
        <v>3</v>
      </c>
      <c r="Y13" s="14">
        <f>IF(مساحة_العمل!$AG$25&lt;&gt;210,"",INDEX(مساحة_العمل!Y$5:Y$24,MATCH($B13,مساحة_العمل!$AG$5:'مساحة_العمل'!$AG$24,0)))</f>
        <v>3</v>
      </c>
      <c r="Z13" s="14">
        <f>IF(مساحة_العمل!$AG$25&lt;&gt;210,"",INDEX(مساحة_العمل!Z$5:Z$24,MATCH($B13,مساحة_العمل!$AG$5:'مساحة_العمل'!$AG$24,0)))</f>
        <v>9</v>
      </c>
      <c r="AA13" s="14">
        <f>IF(مساحة_العمل!$AG$25&lt;&gt;210,"",INDEX(مساحة_العمل!AA$5:AA$24,MATCH($B13,مساحة_العمل!$AG$5:'مساحة_العمل'!$AG$24,0)))</f>
        <v>12</v>
      </c>
      <c r="AB13" s="14">
        <f>IF(مساحة_العمل!$AG$25&lt;&gt;210,"",INDEX(مساحة_العمل!AB$5:AB$24,MATCH($B13,مساحة_العمل!$AG$5:'مساحة_العمل'!$AG$24,0)))</f>
        <v>24</v>
      </c>
      <c r="AC13" s="14">
        <f>IF(مساحة_العمل!$AG$25&lt;&gt;210,"",INDEX(مساحة_العمل!AC$5:AC$24,MATCH($B13,مساحة_العمل!$AG$5:'مساحة_العمل'!$AG$24,0)))</f>
        <v>-12</v>
      </c>
      <c r="AD13" s="16">
        <f>IF(مساحة_العمل!$AG$25&lt;&gt;210,"",INDEX(مساحة_العمل!AD$5:AD$24,MATCH($B13,مساحة_العمل!$AG$5:'مساحة_العمل'!$AG$24,0)))</f>
        <v>12</v>
      </c>
    </row>
    <row r="14" spans="2:30" ht="15" customHeight="1">
      <c r="B14" s="15">
        <f>IF(مساحة_العمل!$AG$25&gt;20,مساحة_العمل!B14,"")</f>
        <v>10</v>
      </c>
      <c r="C14" s="14" t="str">
        <f>IF(مساحة_العمل!$AG$25&lt;&gt;210,"",INDEX(مساحة_العمل!C$5:C$24,MATCH($B14,مساحة_العمل!$AG$5:'مساحة_العمل'!$AG$24,0)))</f>
        <v>مايوركا</v>
      </c>
      <c r="D14" s="14">
        <f>IF(مساحة_العمل!$AG$25&lt;&gt;210,"",INDEX(مساحة_العمل!D$5:D$24,MATCH($B14,مساحة_العمل!$AG$5:'مساحة_العمل'!$AG$24,0)))</f>
        <v>30</v>
      </c>
      <c r="E14" s="14">
        <f>IF(مساحة_العمل!$AG$25&lt;&gt;210,"",INDEX(مساحة_العمل!E$5:E$24,MATCH($B14,مساحة_العمل!$AG$5:'مساحة_العمل'!$AG$24,0)))</f>
        <v>8</v>
      </c>
      <c r="F14" s="14">
        <f>IF(مساحة_العمل!$AG$25&lt;&gt;210,"",INDEX(مساحة_العمل!F$5:F$24,MATCH($B14,مساحة_العمل!$AG$5:'مساحة_العمل'!$AG$24,0)))</f>
        <v>11</v>
      </c>
      <c r="G14" s="14">
        <f>IF(مساحة_العمل!$AG$25&lt;&gt;210,"",INDEX(مساحة_العمل!G$5:G$24,MATCH($B14,مساحة_العمل!$AG$5:'مساحة_العمل'!$AG$24,0)))</f>
        <v>5</v>
      </c>
      <c r="H14" s="14">
        <f>IF(مساحة_العمل!$AG$25&lt;&gt;210,"",INDEX(مساحة_العمل!H$5:H$24,MATCH($B14,مساحة_العمل!$AG$5:'مساحة_العمل'!$AG$24,0)))</f>
        <v>14</v>
      </c>
      <c r="I14" s="14">
        <f>IF(مساحة_العمل!$AG$25&lt;&gt;210,"",INDEX(مساحة_العمل!I$5:I$24,MATCH($B14,مساحة_العمل!$AG$5:'مساحة_العمل'!$AG$24,0)))</f>
        <v>31</v>
      </c>
      <c r="J14" s="14">
        <f>IF(مساحة_العمل!$AG$25&lt;&gt;210,"",INDEX(مساحة_العمل!J$5:J$24,MATCH($B14,مساحة_العمل!$AG$5:'مساحة_العمل'!$AG$24,0)))</f>
        <v>40</v>
      </c>
      <c r="K14" s="14">
        <f>IF(مساحة_العمل!$AG$25&lt;&gt;210,"",INDEX(مساحة_العمل!K$5:K$24,MATCH($B14,مساحة_العمل!$AG$5:'مساحة_العمل'!$AG$24,0)))</f>
        <v>-9</v>
      </c>
      <c r="L14" s="14">
        <f>IF(مساحة_العمل!$AG$25&lt;&gt;210,"",INDEX(مساحة_العمل!L$5:L$24,MATCH($B14,مساحة_العمل!$AG$5:'مساحة_العمل'!$AG$24,0)))</f>
        <v>38</v>
      </c>
      <c r="M14" s="14">
        <f>IF(مساحة_العمل!$AG$25&lt;&gt;210,"",INDEX(مساحة_العمل!M$5:M$24,MATCH($B14,مساحة_العمل!$AG$5:'مساحة_العمل'!$AG$24,0)))</f>
        <v>15</v>
      </c>
      <c r="N14" s="14">
        <f>IF(مساحة_العمل!$AG$25&lt;&gt;210,"",INDEX(مساحة_العمل!N$5:N$24,MATCH($B14,مساحة_العمل!$AG$5:'مساحة_العمل'!$AG$24,0)))</f>
        <v>4</v>
      </c>
      <c r="O14" s="14">
        <f>IF(مساحة_العمل!$AG$25&lt;&gt;210,"",INDEX(مساحة_العمل!O$5:O$24,MATCH($B14,مساحة_العمل!$AG$5:'مساحة_العمل'!$AG$24,0)))</f>
        <v>8</v>
      </c>
      <c r="P14" s="14">
        <f>IF(مساحة_العمل!$AG$25&lt;&gt;210,"",INDEX(مساحة_العمل!P$5:P$24,MATCH($B14,مساحة_العمل!$AG$5:'مساحة_العمل'!$AG$24,0)))</f>
        <v>2</v>
      </c>
      <c r="Q14" s="14">
        <f>IF(مساحة_العمل!$AG$25&lt;&gt;210,"",INDEX(مساحة_العمل!Q$5:Q$24,MATCH($B14,مساحة_العمل!$AG$5:'مساحة_العمل'!$AG$24,0)))</f>
        <v>5</v>
      </c>
      <c r="R14" s="14">
        <f>IF(مساحة_العمل!$AG$25&lt;&gt;210,"",INDEX(مساحة_العمل!R$5:R$24,MATCH($B14,مساحة_العمل!$AG$5:'مساحة_العمل'!$AG$24,0)))</f>
        <v>18</v>
      </c>
      <c r="S14" s="14">
        <f>IF(مساحة_العمل!$AG$25&lt;&gt;210,"",INDEX(مساحة_العمل!S$5:S$24,MATCH($B14,مساحة_العمل!$AG$5:'مساحة_العمل'!$AG$24,0)))</f>
        <v>13</v>
      </c>
      <c r="T14" s="14">
        <f>IF(مساحة_العمل!$AG$25&lt;&gt;210,"",INDEX(مساحة_العمل!T$5:T$24,MATCH($B14,مساحة_العمل!$AG$5:'مساحة_العمل'!$AG$24,0)))</f>
        <v>5</v>
      </c>
      <c r="U14" s="14">
        <f>IF(مساحة_العمل!$AG$25&lt;&gt;210,"",INDEX(مساحة_العمل!U$5:U$24,MATCH($B14,مساحة_العمل!$AG$5:'مساحة_العمل'!$AG$24,0)))</f>
        <v>26</v>
      </c>
      <c r="V14" s="14">
        <f>IF(مساحة_العمل!$AG$25&lt;&gt;210,"",INDEX(مساحة_العمل!V$5:V$24,MATCH($B14,مساحة_العمل!$AG$5:'مساحة_العمل'!$AG$24,0)))</f>
        <v>15</v>
      </c>
      <c r="W14" s="14">
        <f>IF(مساحة_العمل!$AG$25&lt;&gt;210,"",INDEX(مساحة_العمل!W$5:W$24,MATCH($B14,مساحة_العمل!$AG$5:'مساحة_العمل'!$AG$24,0)))</f>
        <v>4</v>
      </c>
      <c r="X14" s="14">
        <f>IF(مساحة_العمل!$AG$25&lt;&gt;210,"",INDEX(مساحة_العمل!X$5:X$24,MATCH($B14,مساحة_العمل!$AG$5:'مساحة_العمل'!$AG$24,0)))</f>
        <v>3</v>
      </c>
      <c r="Y14" s="14">
        <f>IF(مساحة_العمل!$AG$25&lt;&gt;210,"",INDEX(مساحة_العمل!Y$5:Y$24,MATCH($B14,مساحة_العمل!$AG$5:'مساحة_العمل'!$AG$24,0)))</f>
        <v>3</v>
      </c>
      <c r="Z14" s="14">
        <f>IF(مساحة_العمل!$AG$25&lt;&gt;210,"",INDEX(مساحة_العمل!Z$5:Z$24,MATCH($B14,مساحة_العمل!$AG$5:'مساحة_العمل'!$AG$24,0)))</f>
        <v>9</v>
      </c>
      <c r="AA14" s="14">
        <f>IF(مساحة_العمل!$AG$25&lt;&gt;210,"",INDEX(مساحة_العمل!AA$5:AA$24,MATCH($B14,مساحة_العمل!$AG$5:'مساحة_العمل'!$AG$24,0)))</f>
        <v>13</v>
      </c>
      <c r="AB14" s="14">
        <f>IF(مساحة_العمل!$AG$25&lt;&gt;210,"",INDEX(مساحة_العمل!AB$5:AB$24,MATCH($B14,مساحة_العمل!$AG$5:'مساحة_العمل'!$AG$24,0)))</f>
        <v>27</v>
      </c>
      <c r="AC14" s="14">
        <f>IF(مساحة_العمل!$AG$25&lt;&gt;210,"",INDEX(مساحة_العمل!AC$5:AC$24,MATCH($B14,مساحة_العمل!$AG$5:'مساحة_العمل'!$AG$24,0)))</f>
        <v>-14</v>
      </c>
      <c r="AD14" s="16">
        <f>IF(مساحة_العمل!$AG$25&lt;&gt;210,"",INDEX(مساحة_العمل!AD$5:AD$24,MATCH($B14,مساحة_العمل!$AG$5:'مساحة_العمل'!$AG$24,0)))</f>
        <v>12</v>
      </c>
    </row>
    <row r="15" spans="2:30" ht="15" customHeight="1">
      <c r="B15" s="15">
        <f>IF(مساحة_العمل!$AG$25&gt;20,مساحة_العمل!B15,"")</f>
        <v>11</v>
      </c>
      <c r="C15" s="14" t="str">
        <f>IF(مساحة_العمل!$AG$25&lt;&gt;210,"",INDEX(مساحة_العمل!C$5:C$24,MATCH($B15,مساحة_العمل!$AG$5:'مساحة_العمل'!$AG$24,0)))</f>
        <v>رايسنغ سانتاندر</v>
      </c>
      <c r="D15" s="14">
        <f>IF(مساحة_العمل!$AG$25&lt;&gt;210,"",INDEX(مساحة_العمل!D$5:D$24,MATCH($B15,مساحة_العمل!$AG$5:'مساحة_العمل'!$AG$24,0)))</f>
        <v>30</v>
      </c>
      <c r="E15" s="14">
        <f>IF(مساحة_العمل!$AG$25&lt;&gt;210,"",INDEX(مساحة_العمل!E$5:E$24,MATCH($B15,مساحة_العمل!$AG$5:'مساحة_العمل'!$AG$24,0)))</f>
        <v>8</v>
      </c>
      <c r="F15" s="14">
        <f>IF(مساحة_العمل!$AG$25&lt;&gt;210,"",INDEX(مساحة_العمل!F$5:F$24,MATCH($B15,مساحة_العمل!$AG$5:'مساحة_العمل'!$AG$24,0)))</f>
        <v>9</v>
      </c>
      <c r="G15" s="14">
        <f>IF(مساحة_العمل!$AG$25&lt;&gt;210,"",INDEX(مساحة_العمل!G$5:G$24,MATCH($B15,مساحة_العمل!$AG$5:'مساحة_العمل'!$AG$24,0)))</f>
        <v>9</v>
      </c>
      <c r="H15" s="14">
        <f>IF(مساحة_العمل!$AG$25&lt;&gt;210,"",INDEX(مساحة_العمل!H$5:H$24,MATCH($B15,مساحة_العمل!$AG$5:'مساحة_العمل'!$AG$24,0)))</f>
        <v>12</v>
      </c>
      <c r="I15" s="14">
        <f>IF(مساحة_العمل!$AG$25&lt;&gt;210,"",INDEX(مساحة_العمل!I$5:I$24,MATCH($B15,مساحة_العمل!$AG$5:'مساحة_العمل'!$AG$24,0)))</f>
        <v>30</v>
      </c>
      <c r="J15" s="14">
        <f>IF(مساحة_العمل!$AG$25&lt;&gt;210,"",INDEX(مساحة_العمل!J$5:J$24,MATCH($B15,مساحة_العمل!$AG$5:'مساحة_العمل'!$AG$24,0)))</f>
        <v>44</v>
      </c>
      <c r="K15" s="14">
        <f>IF(مساحة_العمل!$AG$25&lt;&gt;210,"",INDEX(مساحة_العمل!K$5:K$24,MATCH($B15,مساحة_العمل!$AG$5:'مساحة_العمل'!$AG$24,0)))</f>
        <v>-14</v>
      </c>
      <c r="L15" s="14">
        <f>IF(مساحة_العمل!$AG$25&lt;&gt;210,"",INDEX(مساحة_العمل!L$5:L$24,MATCH($B15,مساحة_العمل!$AG$5:'مساحة_العمل'!$AG$24,0)))</f>
        <v>36</v>
      </c>
      <c r="M15" s="14">
        <f>IF(مساحة_العمل!$AG$25&lt;&gt;210,"",INDEX(مساحة_العمل!M$5:M$24,MATCH($B15,مساحة_العمل!$AG$5:'مساحة_العمل'!$AG$24,0)))</f>
        <v>14</v>
      </c>
      <c r="N15" s="14">
        <f>IF(مساحة_العمل!$AG$25&lt;&gt;210,"",INDEX(مساحة_العمل!N$5:N$24,MATCH($B15,مساحة_العمل!$AG$5:'مساحة_العمل'!$AG$24,0)))</f>
        <v>5</v>
      </c>
      <c r="O15" s="14">
        <f>IF(مساحة_العمل!$AG$25&lt;&gt;210,"",INDEX(مساحة_العمل!O$5:O$24,MATCH($B15,مساحة_العمل!$AG$5:'مساحة_العمل'!$AG$24,0)))</f>
        <v>6</v>
      </c>
      <c r="P15" s="14">
        <f>IF(مساحة_العمل!$AG$25&lt;&gt;210,"",INDEX(مساحة_العمل!P$5:P$24,MATCH($B15,مساحة_العمل!$AG$5:'مساحة_العمل'!$AG$24,0)))</f>
        <v>5</v>
      </c>
      <c r="Q15" s="14">
        <f>IF(مساحة_العمل!$AG$25&lt;&gt;210,"",INDEX(مساحة_العمل!Q$5:Q$24,MATCH($B15,مساحة_العمل!$AG$5:'مساحة_العمل'!$AG$24,0)))</f>
        <v>3</v>
      </c>
      <c r="R15" s="14">
        <f>IF(مساحة_العمل!$AG$25&lt;&gt;210,"",INDEX(مساحة_العمل!R$5:R$24,MATCH($B15,مساحة_العمل!$AG$5:'مساحة_العمل'!$AG$24,0)))</f>
        <v>18</v>
      </c>
      <c r="S15" s="14">
        <f>IF(مساحة_العمل!$AG$25&lt;&gt;210,"",INDEX(مساحة_العمل!S$5:S$24,MATCH($B15,مساحة_العمل!$AG$5:'مساحة_العمل'!$AG$24,0)))</f>
        <v>15</v>
      </c>
      <c r="T15" s="14">
        <f>IF(مساحة_العمل!$AG$25&lt;&gt;210,"",INDEX(مساحة_العمل!T$5:T$24,MATCH($B15,مساحة_العمل!$AG$5:'مساحة_العمل'!$AG$24,0)))</f>
        <v>3</v>
      </c>
      <c r="U15" s="14">
        <f>IF(مساحة_العمل!$AG$25&lt;&gt;210,"",INDEX(مساحة_العمل!U$5:U$24,MATCH($B15,مساحة_العمل!$AG$5:'مساحة_العمل'!$AG$24,0)))</f>
        <v>23</v>
      </c>
      <c r="V15" s="14">
        <f>IF(مساحة_العمل!$AG$25&lt;&gt;210,"",INDEX(مساحة_العمل!V$5:V$24,MATCH($B15,مساحة_العمل!$AG$5:'مساحة_العمل'!$AG$24,0)))</f>
        <v>16</v>
      </c>
      <c r="W15" s="14">
        <f>IF(مساحة_العمل!$AG$25&lt;&gt;210,"",INDEX(مساحة_العمل!W$5:W$24,MATCH($B15,مساحة_العمل!$AG$5:'مساحة_العمل'!$AG$24,0)))</f>
        <v>3</v>
      </c>
      <c r="X15" s="14">
        <f>IF(مساحة_العمل!$AG$25&lt;&gt;210,"",INDEX(مساحة_العمل!X$5:X$24,MATCH($B15,مساحة_العمل!$AG$5:'مساحة_العمل'!$AG$24,0)))</f>
        <v>3</v>
      </c>
      <c r="Y15" s="14">
        <f>IF(مساحة_العمل!$AG$25&lt;&gt;210,"",INDEX(مساحة_العمل!Y$5:Y$24,MATCH($B15,مساحة_العمل!$AG$5:'مساحة_العمل'!$AG$24,0)))</f>
        <v>4</v>
      </c>
      <c r="Z15" s="14">
        <f>IF(مساحة_العمل!$AG$25&lt;&gt;210,"",INDEX(مساحة_العمل!Z$5:Z$24,MATCH($B15,مساحة_العمل!$AG$5:'مساحة_العمل'!$AG$24,0)))</f>
        <v>9</v>
      </c>
      <c r="AA15" s="14">
        <f>IF(مساحة_العمل!$AG$25&lt;&gt;210,"",INDEX(مساحة_العمل!AA$5:AA$24,MATCH($B15,مساحة_العمل!$AG$5:'مساحة_العمل'!$AG$24,0)))</f>
        <v>12</v>
      </c>
      <c r="AB15" s="14">
        <f>IF(مساحة_العمل!$AG$25&lt;&gt;210,"",INDEX(مساحة_العمل!AB$5:AB$24,MATCH($B15,مساحة_العمل!$AG$5:'مساحة_العمل'!$AG$24,0)))</f>
        <v>29</v>
      </c>
      <c r="AC15" s="14">
        <f>IF(مساحة_العمل!$AG$25&lt;&gt;210,"",INDEX(مساحة_العمل!AC$5:AC$24,MATCH($B15,مساحة_العمل!$AG$5:'مساحة_العمل'!$AG$24,0)))</f>
        <v>-17</v>
      </c>
      <c r="AD15" s="16">
        <f>IF(مساحة_العمل!$AG$25&lt;&gt;210,"",INDEX(مساحة_العمل!AD$5:AD$24,MATCH($B15,مساحة_العمل!$AG$5:'مساحة_العمل'!$AG$24,0)))</f>
        <v>13</v>
      </c>
    </row>
    <row r="16" spans="2:30" ht="15" customHeight="1">
      <c r="B16" s="15">
        <f>IF(مساحة_العمل!$AG$25&gt;20,مساحة_العمل!B16,"")</f>
        <v>12</v>
      </c>
      <c r="C16" s="14" t="str">
        <f>IF(مساحة_العمل!$AG$25&lt;&gt;210,"",INDEX(مساحة_العمل!C$5:C$24,MATCH($B16,مساحة_العمل!$AG$5:'مساحة_العمل'!$AG$24,0)))</f>
        <v>اوساسونا</v>
      </c>
      <c r="D16" s="14">
        <f>IF(مساحة_العمل!$AG$25&lt;&gt;210,"",INDEX(مساحة_العمل!D$5:D$24,MATCH($B16,مساحة_العمل!$AG$5:'مساحة_العمل'!$AG$24,0)))</f>
        <v>30</v>
      </c>
      <c r="E16" s="14">
        <f>IF(مساحة_العمل!$AG$25&lt;&gt;210,"",INDEX(مساحة_العمل!E$5:E$24,MATCH($B16,مساحة_العمل!$AG$5:'مساحة_العمل'!$AG$24,0)))</f>
        <v>8</v>
      </c>
      <c r="F16" s="14">
        <f>IF(مساحة_العمل!$AG$25&lt;&gt;210,"",INDEX(مساحة_العمل!F$5:F$24,MATCH($B16,مساحة_العمل!$AG$5:'مساحة_العمل'!$AG$24,0)))</f>
        <v>9</v>
      </c>
      <c r="G16" s="14">
        <f>IF(مساحة_العمل!$AG$25&lt;&gt;210,"",INDEX(مساحة_العمل!G$5:G$24,MATCH($B16,مساحة_العمل!$AG$5:'مساحة_العمل'!$AG$24,0)))</f>
        <v>8</v>
      </c>
      <c r="H16" s="14">
        <f>IF(مساحة_العمل!$AG$25&lt;&gt;210,"",INDEX(مساحة_العمل!H$5:H$24,MATCH($B16,مساحة_العمل!$AG$5:'مساحة_العمل'!$AG$24,0)))</f>
        <v>13</v>
      </c>
      <c r="I16" s="14">
        <f>IF(مساحة_العمل!$AG$25&lt;&gt;210,"",INDEX(مساحة_العمل!I$5:I$24,MATCH($B16,مساحة_العمل!$AG$5:'مساحة_العمل'!$AG$24,0)))</f>
        <v>36</v>
      </c>
      <c r="J16" s="14">
        <f>IF(مساحة_العمل!$AG$25&lt;&gt;210,"",INDEX(مساحة_العمل!J$5:J$24,MATCH($B16,مساحة_العمل!$AG$5:'مساحة_العمل'!$AG$24,0)))</f>
        <v>36</v>
      </c>
      <c r="K16" s="14">
        <f>IF(مساحة_العمل!$AG$25&lt;&gt;210,"",INDEX(مساحة_العمل!K$5:K$24,MATCH($B16,مساحة_العمل!$AG$5:'مساحة_العمل'!$AG$24,0)))</f>
        <v>0</v>
      </c>
      <c r="L16" s="14">
        <f>IF(مساحة_العمل!$AG$25&lt;&gt;210,"",INDEX(مساحة_العمل!L$5:L$24,MATCH($B16,مساحة_العمل!$AG$5:'مساحة_العمل'!$AG$24,0)))</f>
        <v>35</v>
      </c>
      <c r="M16" s="14">
        <f>IF(مساحة_العمل!$AG$25&lt;&gt;210,"",INDEX(مساحة_العمل!M$5:M$24,MATCH($B16,مساحة_العمل!$AG$5:'مساحة_العمل'!$AG$24,0)))</f>
        <v>15</v>
      </c>
      <c r="N16" s="14">
        <f>IF(مساحة_العمل!$AG$25&lt;&gt;210,"",INDEX(مساحة_العمل!N$5:N$24,MATCH($B16,مساحة_العمل!$AG$5:'مساحة_العمل'!$AG$24,0)))</f>
        <v>4</v>
      </c>
      <c r="O16" s="14">
        <f>IF(مساحة_العمل!$AG$25&lt;&gt;210,"",INDEX(مساحة_العمل!O$5:O$24,MATCH($B16,مساحة_العمل!$AG$5:'مساحة_العمل'!$AG$24,0)))</f>
        <v>7</v>
      </c>
      <c r="P16" s="14">
        <f>IF(مساحة_العمل!$AG$25&lt;&gt;210,"",INDEX(مساحة_العمل!P$5:P$24,MATCH($B16,مساحة_العمل!$AG$5:'مساحة_العمل'!$AG$24,0)))</f>
        <v>6</v>
      </c>
      <c r="Q16" s="14">
        <f>IF(مساحة_العمل!$AG$25&lt;&gt;210,"",INDEX(مساحة_العمل!Q$5:Q$24,MATCH($B16,مساحة_العمل!$AG$5:'مساحة_العمل'!$AG$24,0)))</f>
        <v>2</v>
      </c>
      <c r="R16" s="14">
        <f>IF(مساحة_العمل!$AG$25&lt;&gt;210,"",INDEX(مساحة_العمل!R$5:R$24,MATCH($B16,مساحة_العمل!$AG$5:'مساحة_العمل'!$AG$24,0)))</f>
        <v>22</v>
      </c>
      <c r="S16" s="14">
        <f>IF(مساحة_العمل!$AG$25&lt;&gt;210,"",INDEX(مساحة_العمل!S$5:S$24,MATCH($B16,مساحة_العمل!$AG$5:'مساحة_العمل'!$AG$24,0)))</f>
        <v>10</v>
      </c>
      <c r="T16" s="14">
        <f>IF(مساحة_العمل!$AG$25&lt;&gt;210,"",INDEX(مساحة_العمل!T$5:T$24,MATCH($B16,مساحة_العمل!$AG$5:'مساحة_العمل'!$AG$24,0)))</f>
        <v>12</v>
      </c>
      <c r="U16" s="14">
        <f>IF(مساحة_العمل!$AG$25&lt;&gt;210,"",INDEX(مساحة_العمل!U$5:U$24,MATCH($B16,مساحة_العمل!$AG$5:'مساحة_العمل'!$AG$24,0)))</f>
        <v>27</v>
      </c>
      <c r="V16" s="14">
        <f>IF(مساحة_العمل!$AG$25&lt;&gt;210,"",INDEX(مساحة_العمل!V$5:V$24,MATCH($B16,مساحة_العمل!$AG$5:'مساحة_العمل'!$AG$24,0)))</f>
        <v>15</v>
      </c>
      <c r="W16" s="14">
        <f>IF(مساحة_العمل!$AG$25&lt;&gt;210,"",INDEX(مساحة_العمل!W$5:W$24,MATCH($B16,مساحة_العمل!$AG$5:'مساحة_العمل'!$AG$24,0)))</f>
        <v>4</v>
      </c>
      <c r="X16" s="14">
        <f>IF(مساحة_العمل!$AG$25&lt;&gt;210,"",INDEX(مساحة_العمل!X$5:X$24,MATCH($B16,مساحة_العمل!$AG$5:'مساحة_العمل'!$AG$24,0)))</f>
        <v>2</v>
      </c>
      <c r="Y16" s="14">
        <f>IF(مساحة_العمل!$AG$25&lt;&gt;210,"",INDEX(مساحة_العمل!Y$5:Y$24,MATCH($B16,مساحة_العمل!$AG$5:'مساحة_العمل'!$AG$24,0)))</f>
        <v>2</v>
      </c>
      <c r="Z16" s="14">
        <f>IF(مساحة_العمل!$AG$25&lt;&gt;210,"",INDEX(مساحة_العمل!Z$5:Z$24,MATCH($B16,مساحة_العمل!$AG$5:'مساحة_العمل'!$AG$24,0)))</f>
        <v>11</v>
      </c>
      <c r="AA16" s="14">
        <f>IF(مساحة_العمل!$AG$25&lt;&gt;210,"",INDEX(مساحة_العمل!AA$5:AA$24,MATCH($B16,مساحة_العمل!$AG$5:'مساحة_العمل'!$AG$24,0)))</f>
        <v>14</v>
      </c>
      <c r="AB16" s="14">
        <f>IF(مساحة_العمل!$AG$25&lt;&gt;210,"",INDEX(مساحة_العمل!AB$5:AB$24,MATCH($B16,مساحة_العمل!$AG$5:'مساحة_العمل'!$AG$24,0)))</f>
        <v>26</v>
      </c>
      <c r="AC16" s="14">
        <f>IF(مساحة_العمل!$AG$25&lt;&gt;210,"",INDEX(مساحة_العمل!AC$5:AC$24,MATCH($B16,مساحة_العمل!$AG$5:'مساحة_العمل'!$AG$24,0)))</f>
        <v>-12</v>
      </c>
      <c r="AD16" s="16">
        <f>IF(مساحة_العمل!$AG$25&lt;&gt;210,"",INDEX(مساحة_العمل!AD$5:AD$24,MATCH($B16,مساحة_العمل!$AG$5:'مساحة_العمل'!$AG$24,0)))</f>
        <v>8</v>
      </c>
    </row>
    <row r="17" spans="2:30" ht="15" customHeight="1">
      <c r="B17" s="15">
        <f>IF(مساحة_العمل!$AG$25&gt;20,مساحة_العمل!B17,"")</f>
        <v>13</v>
      </c>
      <c r="C17" s="14" t="str">
        <f>IF(مساحة_العمل!$AG$25&lt;&gt;210,"",INDEX(مساحة_العمل!C$5:C$24,MATCH($B17,مساحة_العمل!$AG$5:'مساحة_العمل'!$AG$24,0)))</f>
        <v>خيخون</v>
      </c>
      <c r="D17" s="14">
        <f>IF(مساحة_العمل!$AG$25&lt;&gt;210,"",INDEX(مساحة_العمل!D$5:D$24,MATCH($B17,مساحة_العمل!$AG$5:'مساحة_العمل'!$AG$24,0)))</f>
        <v>30</v>
      </c>
      <c r="E17" s="14">
        <f>IF(مساحة_العمل!$AG$25&lt;&gt;210,"",INDEX(مساحة_العمل!E$5:E$24,MATCH($B17,مساحة_العمل!$AG$5:'مساحة_العمل'!$AG$24,0)))</f>
        <v>8</v>
      </c>
      <c r="F17" s="14">
        <f>IF(مساحة_العمل!$AG$25&lt;&gt;210,"",INDEX(مساحة_العمل!F$5:F$24,MATCH($B17,مساحة_العمل!$AG$5:'مساحة_العمل'!$AG$24,0)))</f>
        <v>8</v>
      </c>
      <c r="G17" s="14">
        <f>IF(مساحة_العمل!$AG$25&lt;&gt;210,"",INDEX(مساحة_العمل!G$5:G$24,MATCH($B17,مساحة_العمل!$AG$5:'مساحة_العمل'!$AG$24,0)))</f>
        <v>11</v>
      </c>
      <c r="H17" s="14">
        <f>IF(مساحة_العمل!$AG$25&lt;&gt;210,"",INDEX(مساحة_العمل!H$5:H$24,MATCH($B17,مساحة_العمل!$AG$5:'مساحة_العمل'!$AG$24,0)))</f>
        <v>11</v>
      </c>
      <c r="I17" s="14">
        <f>IF(مساحة_العمل!$AG$25&lt;&gt;210,"",INDEX(مساحة_العمل!I$5:I$24,MATCH($B17,مساحة_العمل!$AG$5:'مساحة_العمل'!$AG$24,0)))</f>
        <v>28</v>
      </c>
      <c r="J17" s="14">
        <f>IF(مساحة_العمل!$AG$25&lt;&gt;210,"",INDEX(مساحة_العمل!J$5:J$24,MATCH($B17,مساحة_العمل!$AG$5:'مساحة_العمل'!$AG$24,0)))</f>
        <v>35</v>
      </c>
      <c r="K17" s="14">
        <f>IF(مساحة_العمل!$AG$25&lt;&gt;210,"",INDEX(مساحة_العمل!K$5:K$24,MATCH($B17,مساحة_العمل!$AG$5:'مساحة_العمل'!$AG$24,0)))</f>
        <v>-7</v>
      </c>
      <c r="L17" s="14">
        <f>IF(مساحة_العمل!$AG$25&lt;&gt;210,"",INDEX(مساحة_العمل!L$5:L$24,MATCH($B17,مساحة_العمل!$AG$5:'مساحة_العمل'!$AG$24,0)))</f>
        <v>35</v>
      </c>
      <c r="M17" s="14">
        <f>IF(مساحة_العمل!$AG$25&lt;&gt;210,"",INDEX(مساحة_العمل!M$5:M$24,MATCH($B17,مساحة_العمل!$AG$5:'مساحة_العمل'!$AG$24,0)))</f>
        <v>15</v>
      </c>
      <c r="N17" s="14">
        <f>IF(مساحة_العمل!$AG$25&lt;&gt;210,"",INDEX(مساحة_العمل!N$5:N$24,MATCH($B17,مساحة_العمل!$AG$5:'مساحة_العمل'!$AG$24,0)))</f>
        <v>4</v>
      </c>
      <c r="O17" s="14">
        <f>IF(مساحة_العمل!$AG$25&lt;&gt;210,"",INDEX(مساحة_العمل!O$5:O$24,MATCH($B17,مساحة_العمل!$AG$5:'مساحة_العمل'!$AG$24,0)))</f>
        <v>6</v>
      </c>
      <c r="P17" s="14">
        <f>IF(مساحة_العمل!$AG$25&lt;&gt;210,"",INDEX(مساحة_العمل!P$5:P$24,MATCH($B17,مساحة_العمل!$AG$5:'مساحة_العمل'!$AG$24,0)))</f>
        <v>5</v>
      </c>
      <c r="Q17" s="14">
        <f>IF(مساحة_العمل!$AG$25&lt;&gt;210,"",INDEX(مساحة_العمل!Q$5:Q$24,MATCH($B17,مساحة_العمل!$AG$5:'مساحة_العمل'!$AG$24,0)))</f>
        <v>4</v>
      </c>
      <c r="R17" s="14">
        <f>IF(مساحة_العمل!$AG$25&lt;&gt;210,"",INDEX(مساحة_العمل!R$5:R$24,MATCH($B17,مساحة_العمل!$AG$5:'مساحة_العمل'!$AG$24,0)))</f>
        <v>17</v>
      </c>
      <c r="S17" s="14">
        <f>IF(مساحة_العمل!$AG$25&lt;&gt;210,"",INDEX(مساحة_العمل!S$5:S$24,MATCH($B17,مساحة_العمل!$AG$5:'مساحة_العمل'!$AG$24,0)))</f>
        <v>13</v>
      </c>
      <c r="T17" s="14">
        <f>IF(مساحة_العمل!$AG$25&lt;&gt;210,"",INDEX(مساحة_العمل!T$5:T$24,MATCH($B17,مساحة_العمل!$AG$5:'مساحة_العمل'!$AG$24,0)))</f>
        <v>4</v>
      </c>
      <c r="U17" s="14">
        <f>IF(مساحة_العمل!$AG$25&lt;&gt;210,"",INDEX(مساحة_العمل!U$5:U$24,MATCH($B17,مساحة_العمل!$AG$5:'مساحة_العمل'!$AG$24,0)))</f>
        <v>23</v>
      </c>
      <c r="V17" s="14">
        <f>IF(مساحة_العمل!$AG$25&lt;&gt;210,"",INDEX(مساحة_العمل!V$5:V$24,MATCH($B17,مساحة_العمل!$AG$5:'مساحة_العمل'!$AG$24,0)))</f>
        <v>15</v>
      </c>
      <c r="W17" s="14">
        <f>IF(مساحة_العمل!$AG$25&lt;&gt;210,"",INDEX(مساحة_العمل!W$5:W$24,MATCH($B17,مساحة_العمل!$AG$5:'مساحة_العمل'!$AG$24,0)))</f>
        <v>4</v>
      </c>
      <c r="X17" s="14">
        <f>IF(مساحة_العمل!$AG$25&lt;&gt;210,"",INDEX(مساحة_العمل!X$5:X$24,MATCH($B17,مساحة_العمل!$AG$5:'مساحة_العمل'!$AG$24,0)))</f>
        <v>2</v>
      </c>
      <c r="Y17" s="14">
        <f>IF(مساحة_العمل!$AG$25&lt;&gt;210,"",INDEX(مساحة_العمل!Y$5:Y$24,MATCH($B17,مساحة_العمل!$AG$5:'مساحة_العمل'!$AG$24,0)))</f>
        <v>6</v>
      </c>
      <c r="Z17" s="14">
        <f>IF(مساحة_العمل!$AG$25&lt;&gt;210,"",INDEX(مساحة_العمل!Z$5:Z$24,MATCH($B17,مساحة_العمل!$AG$5:'مساحة_العمل'!$AG$24,0)))</f>
        <v>7</v>
      </c>
      <c r="AA17" s="14">
        <f>IF(مساحة_العمل!$AG$25&lt;&gt;210,"",INDEX(مساحة_العمل!AA$5:AA$24,MATCH($B17,مساحة_العمل!$AG$5:'مساحة_العمل'!$AG$24,0)))</f>
        <v>11</v>
      </c>
      <c r="AB17" s="14">
        <f>IF(مساحة_العمل!$AG$25&lt;&gt;210,"",INDEX(مساحة_العمل!AB$5:AB$24,MATCH($B17,مساحة_العمل!$AG$5:'مساحة_العمل'!$AG$24,0)))</f>
        <v>22</v>
      </c>
      <c r="AC17" s="14">
        <f>IF(مساحة_العمل!$AG$25&lt;&gt;210,"",INDEX(مساحة_العمل!AC$5:AC$24,MATCH($B17,مساحة_العمل!$AG$5:'مساحة_العمل'!$AG$24,0)))</f>
        <v>-11</v>
      </c>
      <c r="AD17" s="16">
        <f>IF(مساحة_العمل!$AG$25&lt;&gt;210,"",INDEX(مساحة_العمل!AD$5:AD$24,MATCH($B17,مساحة_العمل!$AG$5:'مساحة_العمل'!$AG$24,0)))</f>
        <v>12</v>
      </c>
    </row>
    <row r="18" spans="2:30" ht="15" customHeight="1">
      <c r="B18" s="15">
        <f>IF(مساحة_العمل!$AG$25&gt;20,مساحة_العمل!B18,"")</f>
        <v>14</v>
      </c>
      <c r="C18" s="14" t="str">
        <f>IF(مساحة_العمل!$AG$25&lt;&gt;210,"",INDEX(مساحة_العمل!C$5:C$24,MATCH($B18,مساحة_العمل!$AG$5:'مساحة_العمل'!$AG$24,0)))</f>
        <v>ريال سوسيداد</v>
      </c>
      <c r="D18" s="14">
        <f>IF(مساحة_العمل!$AG$25&lt;&gt;210,"",INDEX(مساحة_العمل!D$5:D$24,MATCH($B18,مساحة_العمل!$AG$5:'مساحة_العمل'!$AG$24,0)))</f>
        <v>30</v>
      </c>
      <c r="E18" s="14">
        <f>IF(مساحة_العمل!$AG$25&lt;&gt;210,"",INDEX(مساحة_العمل!E$5:E$24,MATCH($B18,مساحة_العمل!$AG$5:'مساحة_العمل'!$AG$24,0)))</f>
        <v>8</v>
      </c>
      <c r="F18" s="14">
        <f>IF(مساحة_العمل!$AG$25&lt;&gt;210,"",INDEX(مساحة_العمل!F$5:F$24,MATCH($B18,مساحة_العمل!$AG$5:'مساحة_العمل'!$AG$24,0)))</f>
        <v>11</v>
      </c>
      <c r="G18" s="14">
        <f>IF(مساحة_العمل!$AG$25&lt;&gt;210,"",INDEX(مساحة_العمل!G$5:G$24,MATCH($B18,مساحة_العمل!$AG$5:'مساحة_العمل'!$AG$24,0)))</f>
        <v>2</v>
      </c>
      <c r="H18" s="14">
        <f>IF(مساحة_العمل!$AG$25&lt;&gt;210,"",INDEX(مساحة_العمل!H$5:H$24,MATCH($B18,مساحة_العمل!$AG$5:'مساحة_العمل'!$AG$24,0)))</f>
        <v>17</v>
      </c>
      <c r="I18" s="14">
        <f>IF(مساحة_العمل!$AG$25&lt;&gt;210,"",INDEX(مساحة_العمل!I$5:I$24,MATCH($B18,مساحة_العمل!$AG$5:'مساحة_العمل'!$AG$24,0)))</f>
        <v>40</v>
      </c>
      <c r="J18" s="14">
        <f>IF(مساحة_العمل!$AG$25&lt;&gt;210,"",INDEX(مساحة_العمل!J$5:J$24,MATCH($B18,مساحة_العمل!$AG$5:'مساحة_العمل'!$AG$24,0)))</f>
        <v>48</v>
      </c>
      <c r="K18" s="14">
        <f>IF(مساحة_العمل!$AG$25&lt;&gt;210,"",INDEX(مساحة_العمل!K$5:K$24,MATCH($B18,مساحة_العمل!$AG$5:'مساحة_العمل'!$AG$24,0)))</f>
        <v>-8</v>
      </c>
      <c r="L18" s="14">
        <f>IF(مساحة_العمل!$AG$25&lt;&gt;210,"",INDEX(مساحة_العمل!L$5:L$24,MATCH($B18,مساحة_العمل!$AG$5:'مساحة_العمل'!$AG$24,0)))</f>
        <v>35</v>
      </c>
      <c r="M18" s="14">
        <f>IF(مساحة_العمل!$AG$25&lt;&gt;210,"",INDEX(مساحة_العمل!M$5:M$24,MATCH($B18,مساحة_العمل!$AG$5:'مساحة_العمل'!$AG$24,0)))</f>
        <v>15</v>
      </c>
      <c r="N18" s="14">
        <f>IF(مساحة_العمل!$AG$25&lt;&gt;210,"",INDEX(مساحة_العمل!N$5:N$24,MATCH($B18,مساحة_العمل!$AG$5:'مساحة_العمل'!$AG$24,0)))</f>
        <v>4</v>
      </c>
      <c r="O18" s="14">
        <f>IF(مساحة_العمل!$AG$25&lt;&gt;210,"",INDEX(مساحة_العمل!O$5:O$24,MATCH($B18,مساحة_العمل!$AG$5:'مساحة_العمل'!$AG$24,0)))</f>
        <v>8</v>
      </c>
      <c r="P18" s="14">
        <f>IF(مساحة_العمل!$AG$25&lt;&gt;210,"",INDEX(مساحة_العمل!P$5:P$24,MATCH($B18,مساحة_العمل!$AG$5:'مساحة_العمل'!$AG$24,0)))</f>
        <v>1</v>
      </c>
      <c r="Q18" s="14">
        <f>IF(مساحة_العمل!$AG$25&lt;&gt;210,"",INDEX(مساحة_العمل!Q$5:Q$24,MATCH($B18,مساحة_العمل!$AG$5:'مساحة_العمل'!$AG$24,0)))</f>
        <v>6</v>
      </c>
      <c r="R18" s="14">
        <f>IF(مساحة_العمل!$AG$25&lt;&gt;210,"",INDEX(مساحة_العمل!R$5:R$24,MATCH($B18,مساحة_العمل!$AG$5:'مساحة_العمل'!$AG$24,0)))</f>
        <v>20</v>
      </c>
      <c r="S18" s="14">
        <f>IF(مساحة_العمل!$AG$25&lt;&gt;210,"",INDEX(مساحة_العمل!S$5:S$24,MATCH($B18,مساحة_العمل!$AG$5:'مساحة_العمل'!$AG$24,0)))</f>
        <v>17</v>
      </c>
      <c r="T18" s="14">
        <f>IF(مساحة_العمل!$AG$25&lt;&gt;210,"",INDEX(مساحة_العمل!T$5:T$24,MATCH($B18,مساحة_العمل!$AG$5:'مساحة_العمل'!$AG$24,0)))</f>
        <v>3</v>
      </c>
      <c r="U18" s="14">
        <f>IF(مساحة_العمل!$AG$25&lt;&gt;210,"",INDEX(مساحة_العمل!U$5:U$24,MATCH($B18,مساحة_العمل!$AG$5:'مساحة_العمل'!$AG$24,0)))</f>
        <v>25</v>
      </c>
      <c r="V18" s="14">
        <f>IF(مساحة_العمل!$AG$25&lt;&gt;210,"",INDEX(مساحة_العمل!V$5:V$24,MATCH($B18,مساحة_العمل!$AG$5:'مساحة_العمل'!$AG$24,0)))</f>
        <v>15</v>
      </c>
      <c r="W18" s="14">
        <f>IF(مساحة_العمل!$AG$25&lt;&gt;210,"",INDEX(مساحة_العمل!W$5:W$24,MATCH($B18,مساحة_العمل!$AG$5:'مساحة_العمل'!$AG$24,0)))</f>
        <v>4</v>
      </c>
      <c r="X18" s="14">
        <f>IF(مساحة_العمل!$AG$25&lt;&gt;210,"",INDEX(مساحة_العمل!X$5:X$24,MATCH($B18,مساحة_العمل!$AG$5:'مساحة_العمل'!$AG$24,0)))</f>
        <v>3</v>
      </c>
      <c r="Y18" s="14">
        <f>IF(مساحة_العمل!$AG$25&lt;&gt;210,"",INDEX(مساحة_العمل!Y$5:Y$24,MATCH($B18,مساحة_العمل!$AG$5:'مساحة_العمل'!$AG$24,0)))</f>
        <v>1</v>
      </c>
      <c r="Z18" s="14">
        <f>IF(مساحة_العمل!$AG$25&lt;&gt;210,"",INDEX(مساحة_العمل!Z$5:Z$24,MATCH($B18,مساحة_العمل!$AG$5:'مساحة_العمل'!$AG$24,0)))</f>
        <v>11</v>
      </c>
      <c r="AA18" s="14">
        <f>IF(مساحة_العمل!$AG$25&lt;&gt;210,"",INDEX(مساحة_العمل!AA$5:AA$24,MATCH($B18,مساحة_العمل!$AG$5:'مساحة_العمل'!$AG$24,0)))</f>
        <v>20</v>
      </c>
      <c r="AB18" s="14">
        <f>IF(مساحة_العمل!$AG$25&lt;&gt;210,"",INDEX(مساحة_العمل!AB$5:AB$24,MATCH($B18,مساحة_العمل!$AG$5:'مساحة_العمل'!$AG$24,0)))</f>
        <v>31</v>
      </c>
      <c r="AC18" s="14">
        <f>IF(مساحة_العمل!$AG$25&lt;&gt;210,"",INDEX(مساحة_العمل!AC$5:AC$24,MATCH($B18,مساحة_العمل!$AG$5:'مساحة_العمل'!$AG$24,0)))</f>
        <v>-11</v>
      </c>
      <c r="AD18" s="16">
        <f>IF(مساحة_العمل!$AG$25&lt;&gt;210,"",INDEX(مساحة_العمل!AD$5:AD$24,MATCH($B18,مساحة_العمل!$AG$5:'مساحة_العمل'!$AG$24,0)))</f>
        <v>10</v>
      </c>
    </row>
    <row r="19" spans="2:30" ht="15" customHeight="1">
      <c r="B19" s="15">
        <f>IF(مساحة_العمل!$AG$25&gt;20,مساحة_العمل!B19,"")</f>
        <v>15</v>
      </c>
      <c r="C19" s="14" t="str">
        <f>IF(مساحة_العمل!$AG$25&lt;&gt;210,"",INDEX(مساحة_العمل!C$5:C$24,MATCH($B19,مساحة_العمل!$AG$5:'مساحة_العمل'!$AG$24,0)))</f>
        <v>خيتافي</v>
      </c>
      <c r="D19" s="14">
        <f>IF(مساحة_العمل!$AG$25&lt;&gt;210,"",INDEX(مساحة_العمل!D$5:D$24,MATCH($B19,مساحة_العمل!$AG$5:'مساحة_العمل'!$AG$24,0)))</f>
        <v>30</v>
      </c>
      <c r="E19" s="14">
        <f>IF(مساحة_العمل!$AG$25&lt;&gt;210,"",INDEX(مساحة_العمل!E$5:E$24,MATCH($B19,مساحة_العمل!$AG$5:'مساحة_العمل'!$AG$24,0)))</f>
        <v>8</v>
      </c>
      <c r="F19" s="14">
        <f>IF(مساحة_العمل!$AG$25&lt;&gt;210,"",INDEX(مساحة_العمل!F$5:F$24,MATCH($B19,مساحة_العمل!$AG$5:'مساحة_العمل'!$AG$24,0)))</f>
        <v>9</v>
      </c>
      <c r="G19" s="14">
        <f>IF(مساحة_العمل!$AG$25&lt;&gt;210,"",INDEX(مساحة_العمل!G$5:G$24,MATCH($B19,مساحة_العمل!$AG$5:'مساحة_العمل'!$AG$24,0)))</f>
        <v>7</v>
      </c>
      <c r="H19" s="14">
        <f>IF(مساحة_العمل!$AG$25&lt;&gt;210,"",INDEX(مساحة_العمل!H$5:H$24,MATCH($B19,مساحة_العمل!$AG$5:'مساحة_العمل'!$AG$24,0)))</f>
        <v>14</v>
      </c>
      <c r="I19" s="14">
        <f>IF(مساحة_العمل!$AG$25&lt;&gt;210,"",INDEX(مساحة_العمل!I$5:I$24,MATCH($B19,مساحة_العمل!$AG$5:'مساحة_العمل'!$AG$24,0)))</f>
        <v>41</v>
      </c>
      <c r="J19" s="14">
        <f>IF(مساحة_العمل!$AG$25&lt;&gt;210,"",INDEX(مساحة_العمل!J$5:J$24,MATCH($B19,مساحة_العمل!$AG$5:'مساحة_العمل'!$AG$24,0)))</f>
        <v>49</v>
      </c>
      <c r="K19" s="14">
        <f>IF(مساحة_العمل!$AG$25&lt;&gt;210,"",INDEX(مساحة_العمل!K$5:K$24,MATCH($B19,مساحة_العمل!$AG$5:'مساحة_العمل'!$AG$24,0)))</f>
        <v>-8</v>
      </c>
      <c r="L19" s="14">
        <f>IF(مساحة_العمل!$AG$25&lt;&gt;210,"",INDEX(مساحة_العمل!L$5:L$24,MATCH($B19,مساحة_العمل!$AG$5:'مساحة_العمل'!$AG$24,0)))</f>
        <v>34</v>
      </c>
      <c r="M19" s="14">
        <f>IF(مساحة_العمل!$AG$25&lt;&gt;210,"",INDEX(مساحة_العمل!M$5:M$24,MATCH($B19,مساحة_العمل!$AG$5:'مساحة_العمل'!$AG$24,0)))</f>
        <v>16</v>
      </c>
      <c r="N19" s="14">
        <f>IF(مساحة_العمل!$AG$25&lt;&gt;210,"",INDEX(مساحة_العمل!N$5:N$24,MATCH($B19,مساحة_العمل!$AG$5:'مساحة_العمل'!$AG$24,0)))</f>
        <v>3</v>
      </c>
      <c r="O19" s="14">
        <f>IF(مساحة_العمل!$AG$25&lt;&gt;210,"",INDEX(مساحة_العمل!O$5:O$24,MATCH($B19,مساحة_العمل!$AG$5:'مساحة_العمل'!$AG$24,0)))</f>
        <v>6</v>
      </c>
      <c r="P19" s="14">
        <f>IF(مساحة_العمل!$AG$25&lt;&gt;210,"",INDEX(مساحة_العمل!P$5:P$24,MATCH($B19,مساحة_العمل!$AG$5:'مساحة_العمل'!$AG$24,0)))</f>
        <v>3</v>
      </c>
      <c r="Q19" s="14">
        <f>IF(مساحة_العمل!$AG$25&lt;&gt;210,"",INDEX(مساحة_العمل!Q$5:Q$24,MATCH($B19,مساحة_العمل!$AG$5:'مساحة_العمل'!$AG$24,0)))</f>
        <v>7</v>
      </c>
      <c r="R19" s="14">
        <f>IF(مساحة_العمل!$AG$25&lt;&gt;210,"",INDEX(مساحة_العمل!R$5:R$24,MATCH($B19,مساحة_العمل!$AG$5:'مساحة_العمل'!$AG$24,0)))</f>
        <v>28</v>
      </c>
      <c r="S19" s="14">
        <f>IF(مساحة_العمل!$AG$25&lt;&gt;210,"",INDEX(مساحة_العمل!S$5:S$24,MATCH($B19,مساحة_العمل!$AG$5:'مساحة_العمل'!$AG$24,0)))</f>
        <v>26</v>
      </c>
      <c r="T19" s="14">
        <f>IF(مساحة_العمل!$AG$25&lt;&gt;210,"",INDEX(مساحة_العمل!T$5:T$24,MATCH($B19,مساحة_العمل!$AG$5:'مساحة_العمل'!$AG$24,0)))</f>
        <v>2</v>
      </c>
      <c r="U19" s="14">
        <f>IF(مساحة_العمل!$AG$25&lt;&gt;210,"",INDEX(مساحة_العمل!U$5:U$24,MATCH($B19,مساحة_العمل!$AG$5:'مساحة_العمل'!$AG$24,0)))</f>
        <v>21</v>
      </c>
      <c r="V19" s="14">
        <f>IF(مساحة_العمل!$AG$25&lt;&gt;210,"",INDEX(مساحة_العمل!V$5:V$24,MATCH($B19,مساحة_العمل!$AG$5:'مساحة_العمل'!$AG$24,0)))</f>
        <v>14</v>
      </c>
      <c r="W19" s="14">
        <f>IF(مساحة_العمل!$AG$25&lt;&gt;210,"",INDEX(مساحة_العمل!W$5:W$24,MATCH($B19,مساحة_العمل!$AG$5:'مساحة_العمل'!$AG$24,0)))</f>
        <v>5</v>
      </c>
      <c r="X19" s="14">
        <f>IF(مساحة_العمل!$AG$25&lt;&gt;210,"",INDEX(مساحة_العمل!X$5:X$24,MATCH($B19,مساحة_العمل!$AG$5:'مساحة_العمل'!$AG$24,0)))</f>
        <v>3</v>
      </c>
      <c r="Y19" s="14">
        <f>IF(مساحة_العمل!$AG$25&lt;&gt;210,"",INDEX(مساحة_العمل!Y$5:Y$24,MATCH($B19,مساحة_العمل!$AG$5:'مساحة_العمل'!$AG$24,0)))</f>
        <v>4</v>
      </c>
      <c r="Z19" s="14">
        <f>IF(مساحة_العمل!$AG$25&lt;&gt;210,"",INDEX(مساحة_العمل!Z$5:Z$24,MATCH($B19,مساحة_العمل!$AG$5:'مساحة_العمل'!$AG$24,0)))</f>
        <v>7</v>
      </c>
      <c r="AA19" s="14">
        <f>IF(مساحة_العمل!$AG$25&lt;&gt;210,"",INDEX(مساحة_العمل!AA$5:AA$24,MATCH($B19,مساحة_العمل!$AG$5:'مساحة_العمل'!$AG$24,0)))</f>
        <v>13</v>
      </c>
      <c r="AB19" s="14">
        <f>IF(مساحة_العمل!$AG$25&lt;&gt;210,"",INDEX(مساحة_العمل!AB$5:AB$24,MATCH($B19,مساحة_العمل!$AG$5:'مساحة_العمل'!$AG$24,0)))</f>
        <v>23</v>
      </c>
      <c r="AC19" s="14">
        <f>IF(مساحة_العمل!$AG$25&lt;&gt;210,"",INDEX(مساحة_العمل!AC$5:AC$24,MATCH($B19,مساحة_العمل!$AG$5:'مساحة_العمل'!$AG$24,0)))</f>
        <v>-10</v>
      </c>
      <c r="AD19" s="16">
        <f>IF(مساحة_العمل!$AG$25&lt;&gt;210,"",INDEX(مساحة_العمل!AD$5:AD$24,MATCH($B19,مساحة_العمل!$AG$5:'مساحة_العمل'!$AG$24,0)))</f>
        <v>13</v>
      </c>
    </row>
    <row r="20" spans="2:30" ht="15" customHeight="1">
      <c r="B20" s="15">
        <f>IF(مساحة_العمل!$AG$25&gt;20,مساحة_العمل!B20,"")</f>
        <v>16</v>
      </c>
      <c r="C20" s="14" t="str">
        <f>IF(مساحة_العمل!$AG$25&lt;&gt;210,"",INDEX(مساحة_العمل!C$5:C$24,MATCH($B20,مساحة_العمل!$AG$5:'مساحة_العمل'!$AG$24,0)))</f>
        <v>ديبرتيفو لاكرونيا</v>
      </c>
      <c r="D20" s="14">
        <f>IF(مساحة_العمل!$AG$25&lt;&gt;210,"",INDEX(مساحة_العمل!D$5:D$24,MATCH($B20,مساحة_العمل!$AG$5:'مساحة_العمل'!$AG$24,0)))</f>
        <v>30</v>
      </c>
      <c r="E20" s="14">
        <f>IF(مساحة_العمل!$AG$25&lt;&gt;210,"",INDEX(مساحة_العمل!E$5:E$24,MATCH($B20,مساحة_العمل!$AG$5:'مساحة_العمل'!$AG$24,0)))</f>
        <v>8</v>
      </c>
      <c r="F20" s="14">
        <f>IF(مساحة_العمل!$AG$25&lt;&gt;210,"",INDEX(مساحة_العمل!F$5:F$24,MATCH($B20,مساحة_العمل!$AG$5:'مساحة_العمل'!$AG$24,0)))</f>
        <v>8</v>
      </c>
      <c r="G20" s="14">
        <f>IF(مساحة_العمل!$AG$25&lt;&gt;210,"",INDEX(مساحة_العمل!G$5:G$24,MATCH($B20,مساحة_العمل!$AG$5:'مساحة_العمل'!$AG$24,0)))</f>
        <v>10</v>
      </c>
      <c r="H20" s="14">
        <f>IF(مساحة_العمل!$AG$25&lt;&gt;210,"",INDEX(مساحة_العمل!H$5:H$24,MATCH($B20,مساحة_العمل!$AG$5:'مساحة_العمل'!$AG$24,0)))</f>
        <v>12</v>
      </c>
      <c r="I20" s="14">
        <f>IF(مساحة_العمل!$AG$25&lt;&gt;210,"",INDEX(مساحة_العمل!I$5:I$24,MATCH($B20,مساحة_العمل!$AG$5:'مساحة_العمل'!$AG$24,0)))</f>
        <v>25</v>
      </c>
      <c r="J20" s="14">
        <f>IF(مساحة_العمل!$AG$25&lt;&gt;210,"",INDEX(مساحة_العمل!J$5:J$24,MATCH($B20,مساحة_العمل!$AG$5:'مساحة_العمل'!$AG$24,0)))</f>
        <v>40</v>
      </c>
      <c r="K20" s="14">
        <f>IF(مساحة_العمل!$AG$25&lt;&gt;210,"",INDEX(مساحة_العمل!K$5:K$24,MATCH($B20,مساحة_العمل!$AG$5:'مساحة_العمل'!$AG$24,0)))</f>
        <v>-15</v>
      </c>
      <c r="L20" s="14">
        <f>IF(مساحة_العمل!$AG$25&lt;&gt;210,"",INDEX(مساحة_العمل!L$5:L$24,MATCH($B20,مساحة_العمل!$AG$5:'مساحة_العمل'!$AG$24,0)))</f>
        <v>34</v>
      </c>
      <c r="M20" s="14">
        <f>IF(مساحة_العمل!$AG$25&lt;&gt;210,"",INDEX(مساحة_العمل!M$5:M$24,MATCH($B20,مساحة_العمل!$AG$5:'مساحة_العمل'!$AG$24,0)))</f>
        <v>15</v>
      </c>
      <c r="N20" s="14">
        <f>IF(مساحة_العمل!$AG$25&lt;&gt;210,"",INDEX(مساحة_العمل!N$5:N$24,MATCH($B20,مساحة_العمل!$AG$5:'مساحة_العمل'!$AG$24,0)))</f>
        <v>4</v>
      </c>
      <c r="O20" s="14">
        <f>IF(مساحة_العمل!$AG$25&lt;&gt;210,"",INDEX(مساحة_العمل!O$5:O$24,MATCH($B20,مساحة_العمل!$AG$5:'مساحة_العمل'!$AG$24,0)))</f>
        <v>6</v>
      </c>
      <c r="P20" s="14">
        <f>IF(مساحة_العمل!$AG$25&lt;&gt;210,"",INDEX(مساحة_العمل!P$5:P$24,MATCH($B20,مساحة_العمل!$AG$5:'مساحة_العمل'!$AG$24,0)))</f>
        <v>6</v>
      </c>
      <c r="Q20" s="14">
        <f>IF(مساحة_العمل!$AG$25&lt;&gt;210,"",INDEX(مساحة_العمل!Q$5:Q$24,MATCH($B20,مساحة_العمل!$AG$5:'مساحة_العمل'!$AG$24,0)))</f>
        <v>3</v>
      </c>
      <c r="R20" s="14">
        <f>IF(مساحة_العمل!$AG$25&lt;&gt;210,"",INDEX(مساحة_العمل!R$5:R$24,MATCH($B20,مساحة_العمل!$AG$5:'مساحة_العمل'!$AG$24,0)))</f>
        <v>18</v>
      </c>
      <c r="S20" s="14">
        <f>IF(مساحة_العمل!$AG$25&lt;&gt;210,"",INDEX(مساحة_العمل!S$5:S$24,MATCH($B20,مساحة_العمل!$AG$5:'مساحة_العمل'!$AG$24,0)))</f>
        <v>15</v>
      </c>
      <c r="T20" s="14">
        <f>IF(مساحة_العمل!$AG$25&lt;&gt;210,"",INDEX(مساحة_العمل!T$5:T$24,MATCH($B20,مساحة_العمل!$AG$5:'مساحة_العمل'!$AG$24,0)))</f>
        <v>3</v>
      </c>
      <c r="U20" s="14">
        <f>IF(مساحة_العمل!$AG$25&lt;&gt;210,"",INDEX(مساحة_العمل!U$5:U$24,MATCH($B20,مساحة_العمل!$AG$5:'مساحة_العمل'!$AG$24,0)))</f>
        <v>24</v>
      </c>
      <c r="V20" s="14">
        <f>IF(مساحة_العمل!$AG$25&lt;&gt;210,"",INDEX(مساحة_العمل!V$5:V$24,MATCH($B20,مساحة_العمل!$AG$5:'مساحة_العمل'!$AG$24,0)))</f>
        <v>15</v>
      </c>
      <c r="W20" s="14">
        <f>IF(مساحة_العمل!$AG$25&lt;&gt;210,"",INDEX(مساحة_العمل!W$5:W$24,MATCH($B20,مساحة_العمل!$AG$5:'مساحة_العمل'!$AG$24,0)))</f>
        <v>4</v>
      </c>
      <c r="X20" s="14">
        <f>IF(مساحة_العمل!$AG$25&lt;&gt;210,"",INDEX(مساحة_العمل!X$5:X$24,MATCH($B20,مساحة_العمل!$AG$5:'مساحة_العمل'!$AG$24,0)))</f>
        <v>2</v>
      </c>
      <c r="Y20" s="14">
        <f>IF(مساحة_العمل!$AG$25&lt;&gt;210,"",INDEX(مساحة_العمل!Y$5:Y$24,MATCH($B20,مساحة_العمل!$AG$5:'مساحة_العمل'!$AG$24,0)))</f>
        <v>4</v>
      </c>
      <c r="Z20" s="14">
        <f>IF(مساحة_العمل!$AG$25&lt;&gt;210,"",INDEX(مساحة_العمل!Z$5:Z$24,MATCH($B20,مساحة_العمل!$AG$5:'مساحة_العمل'!$AG$24,0)))</f>
        <v>9</v>
      </c>
      <c r="AA20" s="14">
        <f>IF(مساحة_العمل!$AG$25&lt;&gt;210,"",INDEX(مساحة_العمل!AA$5:AA$24,MATCH($B20,مساحة_العمل!$AG$5:'مساحة_العمل'!$AG$24,0)))</f>
        <v>7</v>
      </c>
      <c r="AB20" s="14">
        <f>IF(مساحة_العمل!$AG$25&lt;&gt;210,"",INDEX(مساحة_العمل!AB$5:AB$24,MATCH($B20,مساحة_العمل!$AG$5:'مساحة_العمل'!$AG$24,0)))</f>
        <v>25</v>
      </c>
      <c r="AC20" s="14">
        <f>IF(مساحة_العمل!$AG$25&lt;&gt;210,"",INDEX(مساحة_العمل!AC$5:AC$24,MATCH($B20,مساحة_العمل!$AG$5:'مساحة_العمل'!$AG$24,0)))</f>
        <v>-18</v>
      </c>
      <c r="AD20" s="16">
        <f>IF(مساحة_العمل!$AG$25&lt;&gt;210,"",INDEX(مساحة_العمل!AD$5:AD$24,MATCH($B20,مساحة_العمل!$AG$5:'مساحة_العمل'!$AG$24,0)))</f>
        <v>10</v>
      </c>
    </row>
    <row r="21" spans="2:30" ht="15" customHeight="1">
      <c r="B21" s="15">
        <f>IF(مساحة_العمل!$AG$25&gt;20,مساحة_العمل!B21,"")</f>
        <v>17</v>
      </c>
      <c r="C21" s="14" t="str">
        <f>IF(مساحة_العمل!$AG$25&lt;&gt;210,"",INDEX(مساحة_العمل!C$5:C$24,MATCH($B21,مساحة_العمل!$AG$5:'مساحة_العمل'!$AG$24,0)))</f>
        <v>ريال سرقسطة</v>
      </c>
      <c r="D21" s="14">
        <f>IF(مساحة_العمل!$AG$25&lt;&gt;210,"",INDEX(مساحة_العمل!D$5:D$24,MATCH($B21,مساحة_العمل!$AG$5:'مساحة_العمل'!$AG$24,0)))</f>
        <v>30</v>
      </c>
      <c r="E21" s="14">
        <f>IF(مساحة_العمل!$AG$25&lt;&gt;210,"",INDEX(مساحة_العمل!E$5:E$24,MATCH($B21,مساحة_العمل!$AG$5:'مساحة_العمل'!$AG$24,0)))</f>
        <v>8</v>
      </c>
      <c r="F21" s="14">
        <f>IF(مساحة_العمل!$AG$25&lt;&gt;210,"",INDEX(مساحة_العمل!F$5:F$24,MATCH($B21,مساحة_العمل!$AG$5:'مساحة_العمل'!$AG$24,0)))</f>
        <v>7</v>
      </c>
      <c r="G21" s="14">
        <f>IF(مساحة_العمل!$AG$25&lt;&gt;210,"",INDEX(مساحة_العمل!G$5:G$24,MATCH($B21,مساحة_العمل!$AG$5:'مساحة_العمل'!$AG$24,0)))</f>
        <v>9</v>
      </c>
      <c r="H21" s="14">
        <f>IF(مساحة_العمل!$AG$25&lt;&gt;210,"",INDEX(مساحة_العمل!H$5:H$24,MATCH($B21,مساحة_العمل!$AG$5:'مساحة_العمل'!$AG$24,0)))</f>
        <v>14</v>
      </c>
      <c r="I21" s="14">
        <f>IF(مساحة_العمل!$AG$25&lt;&gt;210,"",INDEX(مساحة_العمل!I$5:I$24,MATCH($B21,مساحة_العمل!$AG$5:'مساحة_العمل'!$AG$24,0)))</f>
        <v>29</v>
      </c>
      <c r="J21" s="14">
        <f>IF(مساحة_العمل!$AG$25&lt;&gt;210,"",INDEX(مساحة_العمل!J$5:J$24,MATCH($B21,مساحة_العمل!$AG$5:'مساحة_العمل'!$AG$24,0)))</f>
        <v>43</v>
      </c>
      <c r="K21" s="14">
        <f>IF(مساحة_العمل!$AG$25&lt;&gt;210,"",INDEX(مساحة_العمل!K$5:K$24,MATCH($B21,مساحة_العمل!$AG$5:'مساحة_العمل'!$AG$24,0)))</f>
        <v>-14</v>
      </c>
      <c r="L21" s="14">
        <f>IF(مساحة_العمل!$AG$25&lt;&gt;210,"",INDEX(مساحة_العمل!L$5:L$24,MATCH($B21,مساحة_العمل!$AG$5:'مساحة_العمل'!$AG$24,0)))</f>
        <v>30</v>
      </c>
      <c r="M21" s="14">
        <f>IF(مساحة_العمل!$AG$25&lt;&gt;210,"",INDEX(مساحة_العمل!M$5:M$24,MATCH($B21,مساحة_العمل!$AG$5:'مساحة_العمل'!$AG$24,0)))</f>
        <v>15</v>
      </c>
      <c r="N21" s="14">
        <f>IF(مساحة_العمل!$AG$25&lt;&gt;210,"",INDEX(مساحة_العمل!N$5:N$24,MATCH($B21,مساحة_العمل!$AG$5:'مساحة_العمل'!$AG$24,0)))</f>
        <v>4</v>
      </c>
      <c r="O21" s="14">
        <f>IF(مساحة_العمل!$AG$25&lt;&gt;210,"",INDEX(مساحة_العمل!O$5:O$24,MATCH($B21,مساحة_العمل!$AG$5:'مساحة_العمل'!$AG$24,0)))</f>
        <v>6</v>
      </c>
      <c r="P21" s="14">
        <f>IF(مساحة_العمل!$AG$25&lt;&gt;210,"",INDEX(مساحة_العمل!P$5:P$24,MATCH($B21,مساحة_العمل!$AG$5:'مساحة_العمل'!$AG$24,0)))</f>
        <v>3</v>
      </c>
      <c r="Q21" s="14">
        <f>IF(مساحة_العمل!$AG$25&lt;&gt;210,"",INDEX(مساحة_العمل!Q$5:Q$24,MATCH($B21,مساحة_العمل!$AG$5:'مساحة_العمل'!$AG$24,0)))</f>
        <v>6</v>
      </c>
      <c r="R21" s="14">
        <f>IF(مساحة_العمل!$AG$25&lt;&gt;210,"",INDEX(مساحة_العمل!R$5:R$24,MATCH($B21,مساحة_العمل!$AG$5:'مساحة_العمل'!$AG$24,0)))</f>
        <v>21</v>
      </c>
      <c r="S21" s="14">
        <f>IF(مساحة_العمل!$AG$25&lt;&gt;210,"",INDEX(مساحة_العمل!S$5:S$24,MATCH($B21,مساحة_العمل!$AG$5:'مساحة_العمل'!$AG$24,0)))</f>
        <v>23</v>
      </c>
      <c r="T21" s="14">
        <f>IF(مساحة_العمل!$AG$25&lt;&gt;210,"",INDEX(مساحة_العمل!T$5:T$24,MATCH($B21,مساحة_العمل!$AG$5:'مساحة_العمل'!$AG$24,0)))</f>
        <v>-2</v>
      </c>
      <c r="U21" s="14">
        <f>IF(مساحة_العمل!$AG$25&lt;&gt;210,"",INDEX(مساحة_العمل!U$5:U$24,MATCH($B21,مساحة_العمل!$AG$5:'مساحة_العمل'!$AG$24,0)))</f>
        <v>21</v>
      </c>
      <c r="V21" s="14">
        <f>IF(مساحة_العمل!$AG$25&lt;&gt;210,"",INDEX(مساحة_العمل!V$5:V$24,MATCH($B21,مساحة_العمل!$AG$5:'مساحة_العمل'!$AG$24,0)))</f>
        <v>15</v>
      </c>
      <c r="W21" s="14">
        <f>IF(مساحة_العمل!$AG$25&lt;&gt;210,"",INDEX(مساحة_العمل!W$5:W$24,MATCH($B21,مساحة_العمل!$AG$5:'مساحة_العمل'!$AG$24,0)))</f>
        <v>4</v>
      </c>
      <c r="X21" s="14">
        <f>IF(مساحة_العمل!$AG$25&lt;&gt;210,"",INDEX(مساحة_العمل!X$5:X$24,MATCH($B21,مساحة_العمل!$AG$5:'مساحة_العمل'!$AG$24,0)))</f>
        <v>1</v>
      </c>
      <c r="Y21" s="14">
        <f>IF(مساحة_العمل!$AG$25&lt;&gt;210,"",INDEX(مساحة_العمل!Y$5:Y$24,MATCH($B21,مساحة_العمل!$AG$5:'مساحة_العمل'!$AG$24,0)))</f>
        <v>6</v>
      </c>
      <c r="Z21" s="14">
        <f>IF(مساحة_العمل!$AG$25&lt;&gt;210,"",INDEX(مساحة_العمل!Z$5:Z$24,MATCH($B21,مساحة_العمل!$AG$5:'مساحة_العمل'!$AG$24,0)))</f>
        <v>8</v>
      </c>
      <c r="AA21" s="14">
        <f>IF(مساحة_العمل!$AG$25&lt;&gt;210,"",INDEX(مساحة_العمل!AA$5:AA$24,MATCH($B21,مساحة_العمل!$AG$5:'مساحة_العمل'!$AG$24,0)))</f>
        <v>8</v>
      </c>
      <c r="AB21" s="14">
        <f>IF(مساحة_العمل!$AG$25&lt;&gt;210,"",INDEX(مساحة_العمل!AB$5:AB$24,MATCH($B21,مساحة_العمل!$AG$5:'مساحة_العمل'!$AG$24,0)))</f>
        <v>20</v>
      </c>
      <c r="AC21" s="14">
        <f>IF(مساحة_العمل!$AG$25&lt;&gt;210,"",INDEX(مساحة_العمل!AC$5:AC$24,MATCH($B21,مساحة_العمل!$AG$5:'مساحة_العمل'!$AG$24,0)))</f>
        <v>-12</v>
      </c>
      <c r="AD21" s="16">
        <f>IF(مساحة_العمل!$AG$25&lt;&gt;210,"",INDEX(مساحة_العمل!AD$5:AD$24,MATCH($B21,مساحة_العمل!$AG$5:'مساحة_العمل'!$AG$24,0)))</f>
        <v>9</v>
      </c>
    </row>
    <row r="22" spans="2:30" ht="15" customHeight="1">
      <c r="B22" s="68">
        <f>IF(مساحة_العمل!$AG$25&gt;20,مساحة_العمل!B22,"")</f>
        <v>18</v>
      </c>
      <c r="C22" s="69" t="str">
        <f>IF(مساحة_العمل!$AG$25&lt;&gt;210,"",INDEX(مساحة_العمل!C$5:C$24,MATCH($B22,مساحة_العمل!$AG$5:'مساحة_العمل'!$AG$24,0)))</f>
        <v>ملقا</v>
      </c>
      <c r="D22" s="69">
        <f>IF(مساحة_العمل!$AG$25&lt;&gt;210,"",INDEX(مساحة_العمل!D$5:D$24,MATCH($B22,مساحة_العمل!$AG$5:'مساحة_العمل'!$AG$24,0)))</f>
        <v>30</v>
      </c>
      <c r="E22" s="69">
        <f>IF(مساحة_العمل!$AG$25&lt;&gt;210,"",INDEX(مساحة_العمل!E$5:E$24,MATCH($B22,مساحة_العمل!$AG$5:'مساحة_العمل'!$AG$24,0)))</f>
        <v>8</v>
      </c>
      <c r="F22" s="69">
        <f>IF(مساحة_العمل!$AG$25&lt;&gt;210,"",INDEX(مساحة_العمل!F$5:F$24,MATCH($B22,مساحة_العمل!$AG$5:'مساحة_العمل'!$AG$24,0)))</f>
        <v>8</v>
      </c>
      <c r="G22" s="69">
        <f>IF(مساحة_العمل!$AG$25&lt;&gt;210,"",INDEX(مساحة_العمل!G$5:G$24,MATCH($B22,مساحة_العمل!$AG$5:'مساحة_العمل'!$AG$24,0)))</f>
        <v>5</v>
      </c>
      <c r="H22" s="69">
        <f>IF(مساحة_العمل!$AG$25&lt;&gt;210,"",INDEX(مساحة_العمل!H$5:H$24,MATCH($B22,مساحة_العمل!$AG$5:'مساحة_العمل'!$AG$24,0)))</f>
        <v>17</v>
      </c>
      <c r="I22" s="69">
        <f>IF(مساحة_العمل!$AG$25&lt;&gt;210,"",INDEX(مساحة_العمل!I$5:I$24,MATCH($B22,مساحة_العمل!$AG$5:'مساحة_العمل'!$AG$24,0)))</f>
        <v>39</v>
      </c>
      <c r="J22" s="69">
        <f>IF(مساحة_العمل!$AG$25&lt;&gt;210,"",INDEX(مساحة_العمل!J$5:J$24,MATCH($B22,مساحة_العمل!$AG$5:'مساحة_العمل'!$AG$24,0)))</f>
        <v>62</v>
      </c>
      <c r="K22" s="69">
        <f>IF(مساحة_العمل!$AG$25&lt;&gt;210,"",INDEX(مساحة_العمل!K$5:K$24,MATCH($B22,مساحة_العمل!$AG$5:'مساحة_العمل'!$AG$24,0)))</f>
        <v>-23</v>
      </c>
      <c r="L22" s="69">
        <f>IF(مساحة_العمل!$AG$25&lt;&gt;210,"",INDEX(مساحة_العمل!L$5:L$24,MATCH($B22,مساحة_العمل!$AG$5:'مساحة_العمل'!$AG$24,0)))</f>
        <v>29</v>
      </c>
      <c r="M22" s="69">
        <f>IF(مساحة_العمل!$AG$25&lt;&gt;210,"",INDEX(مساحة_العمل!M$5:M$24,MATCH($B22,مساحة_العمل!$AG$5:'مساحة_العمل'!$AG$24,0)))</f>
        <v>14</v>
      </c>
      <c r="N22" s="69">
        <f>IF(مساحة_العمل!$AG$25&lt;&gt;210,"",INDEX(مساحة_العمل!N$5:N$24,MATCH($B22,مساحة_العمل!$AG$5:'مساحة_العمل'!$AG$24,0)))</f>
        <v>5</v>
      </c>
      <c r="O22" s="69">
        <f>IF(مساحة_العمل!$AG$25&lt;&gt;210,"",INDEX(مساحة_العمل!O$5:O$24,MATCH($B22,مساحة_العمل!$AG$5:'مساحة_العمل'!$AG$24,0)))</f>
        <v>4</v>
      </c>
      <c r="P22" s="69">
        <f>IF(مساحة_العمل!$AG$25&lt;&gt;210,"",INDEX(مساحة_العمل!P$5:P$24,MATCH($B22,مساحة_العمل!$AG$5:'مساحة_العمل'!$AG$24,0)))</f>
        <v>2</v>
      </c>
      <c r="Q22" s="69">
        <f>IF(مساحة_العمل!$AG$25&lt;&gt;210,"",INDEX(مساحة_العمل!Q$5:Q$24,MATCH($B22,مساحة_العمل!$AG$5:'مساحة_العمل'!$AG$24,0)))</f>
        <v>8</v>
      </c>
      <c r="R22" s="69">
        <f>IF(مساحة_العمل!$AG$25&lt;&gt;210,"",INDEX(مساحة_العمل!R$5:R$24,MATCH($B22,مساحة_العمل!$AG$5:'مساحة_العمل'!$AG$24,0)))</f>
        <v>20</v>
      </c>
      <c r="S22" s="69">
        <f>IF(مساحة_العمل!$AG$25&lt;&gt;210,"",INDEX(مساحة_العمل!S$5:S$24,MATCH($B22,مساحة_العمل!$AG$5:'مساحة_العمل'!$AG$24,0)))</f>
        <v>25</v>
      </c>
      <c r="T22" s="69">
        <f>IF(مساحة_العمل!$AG$25&lt;&gt;210,"",INDEX(مساحة_العمل!T$5:T$24,MATCH($B22,مساحة_العمل!$AG$5:'مساحة_العمل'!$AG$24,0)))</f>
        <v>-5</v>
      </c>
      <c r="U22" s="69">
        <f>IF(مساحة_العمل!$AG$25&lt;&gt;210,"",INDEX(مساحة_العمل!U$5:U$24,MATCH($B22,مساحة_العمل!$AG$5:'مساحة_العمل'!$AG$24,0)))</f>
        <v>14</v>
      </c>
      <c r="V22" s="69">
        <f>IF(مساحة_العمل!$AG$25&lt;&gt;210,"",INDEX(مساحة_العمل!V$5:V$24,MATCH($B22,مساحة_العمل!$AG$5:'مساحة_العمل'!$AG$24,0)))</f>
        <v>16</v>
      </c>
      <c r="W22" s="69">
        <f>IF(مساحة_العمل!$AG$25&lt;&gt;210,"",INDEX(مساحة_العمل!W$5:W$24,MATCH($B22,مساحة_العمل!$AG$5:'مساحة_العمل'!$AG$24,0)))</f>
        <v>3</v>
      </c>
      <c r="X22" s="69">
        <f>IF(مساحة_العمل!$AG$25&lt;&gt;210,"",INDEX(مساحة_العمل!X$5:X$24,MATCH($B22,مساحة_العمل!$AG$5:'مساحة_العمل'!$AG$24,0)))</f>
        <v>4</v>
      </c>
      <c r="Y22" s="69">
        <f>IF(مساحة_العمل!$AG$25&lt;&gt;210,"",INDEX(مساحة_العمل!Y$5:Y$24,MATCH($B22,مساحة_العمل!$AG$5:'مساحة_العمل'!$AG$24,0)))</f>
        <v>3</v>
      </c>
      <c r="Z22" s="69">
        <f>IF(مساحة_العمل!$AG$25&lt;&gt;210,"",INDEX(مساحة_العمل!Z$5:Z$24,MATCH($B22,مساحة_العمل!$AG$5:'مساحة_العمل'!$AG$24,0)))</f>
        <v>9</v>
      </c>
      <c r="AA22" s="69">
        <f>IF(مساحة_العمل!$AG$25&lt;&gt;210,"",INDEX(مساحة_العمل!AA$5:AA$24,MATCH($B22,مساحة_العمل!$AG$5:'مساحة_العمل'!$AG$24,0)))</f>
        <v>19</v>
      </c>
      <c r="AB22" s="69">
        <f>IF(مساحة_العمل!$AG$25&lt;&gt;210,"",INDEX(مساحة_العمل!AB$5:AB$24,MATCH($B22,مساحة_العمل!$AG$5:'مساحة_العمل'!$AG$24,0)))</f>
        <v>37</v>
      </c>
      <c r="AC22" s="69">
        <f>IF(مساحة_العمل!$AG$25&lt;&gt;210,"",INDEX(مساحة_العمل!AC$5:AC$24,MATCH($B22,مساحة_العمل!$AG$5:'مساحة_العمل'!$AG$24,0)))</f>
        <v>-18</v>
      </c>
      <c r="AD22" s="70">
        <f>IF(مساحة_العمل!$AG$25&lt;&gt;210,"",INDEX(مساحة_العمل!AD$5:AD$24,MATCH($B22,مساحة_العمل!$AG$5:'مساحة_العمل'!$AG$24,0)))</f>
        <v>15</v>
      </c>
    </row>
    <row r="23" spans="2:30" ht="15" customHeight="1">
      <c r="B23" s="68">
        <f>IF(مساحة_العمل!$AG$25&gt;20,مساحة_العمل!B23,"")</f>
        <v>19</v>
      </c>
      <c r="C23" s="69" t="str">
        <f>IF(مساحة_العمل!$AG$25&lt;&gt;210,"",INDEX(مساحة_العمل!C$5:C$24,MATCH($B23,مساحة_العمل!$AG$5:'مساحة_العمل'!$AG$24,0)))</f>
        <v>هيركوليس</v>
      </c>
      <c r="D23" s="69">
        <f>IF(مساحة_العمل!$AG$25&lt;&gt;210,"",INDEX(مساحة_العمل!D$5:D$24,MATCH($B23,مساحة_العمل!$AG$5:'مساحة_العمل'!$AG$24,0)))</f>
        <v>30</v>
      </c>
      <c r="E23" s="69">
        <f>IF(مساحة_العمل!$AG$25&lt;&gt;210,"",INDEX(مساحة_العمل!E$5:E$24,MATCH($B23,مساحة_العمل!$AG$5:'مساحة_العمل'!$AG$24,0)))</f>
        <v>8</v>
      </c>
      <c r="F23" s="69">
        <f>IF(مساحة_العمل!$AG$25&lt;&gt;210,"",INDEX(مساحة_العمل!F$5:F$24,MATCH($B23,مساحة_العمل!$AG$5:'مساحة_العمل'!$AG$24,0)))</f>
        <v>8</v>
      </c>
      <c r="G23" s="69">
        <f>IF(مساحة_العمل!$AG$25&lt;&gt;210,"",INDEX(مساحة_العمل!G$5:G$24,MATCH($B23,مساحة_العمل!$AG$5:'مساحة_العمل'!$AG$24,0)))</f>
        <v>5</v>
      </c>
      <c r="H23" s="69">
        <f>IF(مساحة_العمل!$AG$25&lt;&gt;210,"",INDEX(مساحة_العمل!H$5:H$24,MATCH($B23,مساحة_العمل!$AG$5:'مساحة_العمل'!$AG$24,0)))</f>
        <v>17</v>
      </c>
      <c r="I23" s="69">
        <f>IF(مساحة_العمل!$AG$25&lt;&gt;210,"",INDEX(مساحة_العمل!I$5:I$24,MATCH($B23,مساحة_العمل!$AG$5:'مساحة_العمل'!$AG$24,0)))</f>
        <v>28</v>
      </c>
      <c r="J23" s="69">
        <f>IF(مساحة_العمل!$AG$25&lt;&gt;210,"",INDEX(مساحة_العمل!J$5:J$24,MATCH($B23,مساحة_العمل!$AG$5:'مساحة_العمل'!$AG$24,0)))</f>
        <v>48</v>
      </c>
      <c r="K23" s="69">
        <f>IF(مساحة_العمل!$AG$25&lt;&gt;210,"",INDEX(مساحة_العمل!K$5:K$24,MATCH($B23,مساحة_العمل!$AG$5:'مساحة_العمل'!$AG$24,0)))</f>
        <v>-20</v>
      </c>
      <c r="L23" s="69">
        <f>IF(مساحة_العمل!$AG$25&lt;&gt;210,"",INDEX(مساحة_العمل!L$5:L$24,MATCH($B23,مساحة_العمل!$AG$5:'مساحة_العمل'!$AG$24,0)))</f>
        <v>29</v>
      </c>
      <c r="M23" s="69">
        <f>IF(مساحة_العمل!$AG$25&lt;&gt;210,"",INDEX(مساحة_العمل!M$5:M$24,MATCH($B23,مساحة_العمل!$AG$5:'مساحة_العمل'!$AG$24,0)))</f>
        <v>14</v>
      </c>
      <c r="N23" s="69">
        <f>IF(مساحة_العمل!$AG$25&lt;&gt;210,"",INDEX(مساحة_العمل!N$5:N$24,MATCH($B23,مساحة_العمل!$AG$5:'مساحة_العمل'!$AG$24,0)))</f>
        <v>5</v>
      </c>
      <c r="O23" s="69">
        <f>IF(مساحة_العمل!$AG$25&lt;&gt;210,"",INDEX(مساحة_العمل!O$5:O$24,MATCH($B23,مساحة_العمل!$AG$5:'مساحة_العمل'!$AG$24,0)))</f>
        <v>6</v>
      </c>
      <c r="P23" s="69">
        <f>IF(مساحة_العمل!$AG$25&lt;&gt;210,"",INDEX(مساحة_العمل!P$5:P$24,MATCH($B23,مساحة_العمل!$AG$5:'مساحة_العمل'!$AG$24,0)))</f>
        <v>2</v>
      </c>
      <c r="Q23" s="69">
        <f>IF(مساحة_العمل!$AG$25&lt;&gt;210,"",INDEX(مساحة_العمل!Q$5:Q$24,MATCH($B23,مساحة_العمل!$AG$5:'مساحة_العمل'!$AG$24,0)))</f>
        <v>6</v>
      </c>
      <c r="R23" s="69">
        <f>IF(مساحة_العمل!$AG$25&lt;&gt;210,"",INDEX(مساحة_العمل!R$5:R$24,MATCH($B23,مساحة_العمل!$AG$5:'مساحة_العمل'!$AG$24,0)))</f>
        <v>22</v>
      </c>
      <c r="S23" s="69">
        <f>IF(مساحة_العمل!$AG$25&lt;&gt;210,"",INDEX(مساحة_العمل!S$5:S$24,MATCH($B23,مساحة_العمل!$AG$5:'مساحة_العمل'!$AG$24,0)))</f>
        <v>22</v>
      </c>
      <c r="T23" s="69">
        <f>IF(مساحة_العمل!$AG$25&lt;&gt;210,"",INDEX(مساحة_العمل!T$5:T$24,MATCH($B23,مساحة_العمل!$AG$5:'مساحة_العمل'!$AG$24,0)))</f>
        <v>0</v>
      </c>
      <c r="U23" s="69">
        <f>IF(مساحة_العمل!$AG$25&lt;&gt;210,"",INDEX(مساحة_العمل!U$5:U$24,MATCH($B23,مساحة_العمل!$AG$5:'مساحة_العمل'!$AG$24,0)))</f>
        <v>20</v>
      </c>
      <c r="V23" s="69">
        <f>IF(مساحة_العمل!$AG$25&lt;&gt;210,"",INDEX(مساحة_العمل!V$5:V$24,MATCH($B23,مساحة_العمل!$AG$5:'مساحة_العمل'!$AG$24,0)))</f>
        <v>16</v>
      </c>
      <c r="W23" s="69">
        <f>IF(مساحة_العمل!$AG$25&lt;&gt;210,"",INDEX(مساحة_العمل!W$5:W$24,MATCH($B23,مساحة_العمل!$AG$5:'مساحة_العمل'!$AG$24,0)))</f>
        <v>3</v>
      </c>
      <c r="X23" s="69">
        <f>IF(مساحة_العمل!$AG$25&lt;&gt;210,"",INDEX(مساحة_العمل!X$5:X$24,MATCH($B23,مساحة_العمل!$AG$5:'مساحة_العمل'!$AG$24,0)))</f>
        <v>2</v>
      </c>
      <c r="Y23" s="69">
        <f>IF(مساحة_العمل!$AG$25&lt;&gt;210,"",INDEX(مساحة_العمل!Y$5:Y$24,MATCH($B23,مساحة_العمل!$AG$5:'مساحة_العمل'!$AG$24,0)))</f>
        <v>3</v>
      </c>
      <c r="Z23" s="69">
        <f>IF(مساحة_العمل!$AG$25&lt;&gt;210,"",INDEX(مساحة_العمل!Z$5:Z$24,MATCH($B23,مساحة_العمل!$AG$5:'مساحة_العمل'!$AG$24,0)))</f>
        <v>11</v>
      </c>
      <c r="AA23" s="69">
        <f>IF(مساحة_العمل!$AG$25&lt;&gt;210,"",INDEX(مساحة_العمل!AA$5:AA$24,MATCH($B23,مساحة_العمل!$AG$5:'مساحة_العمل'!$AG$24,0)))</f>
        <v>6</v>
      </c>
      <c r="AB23" s="69">
        <f>IF(مساحة_العمل!$AG$25&lt;&gt;210,"",INDEX(مساحة_العمل!AB$5:AB$24,MATCH($B23,مساحة_العمل!$AG$5:'مساحة_العمل'!$AG$24,0)))</f>
        <v>26</v>
      </c>
      <c r="AC23" s="69">
        <f>IF(مساحة_العمل!$AG$25&lt;&gt;210,"",INDEX(مساحة_العمل!AC$5:AC$24,MATCH($B23,مساحة_العمل!$AG$5:'مساحة_العمل'!$AG$24,0)))</f>
        <v>-20</v>
      </c>
      <c r="AD23" s="70">
        <f>IF(مساحة_العمل!$AG$25&lt;&gt;210,"",INDEX(مساحة_العمل!AD$5:AD$24,MATCH($B23,مساحة_العمل!$AG$5:'مساحة_العمل'!$AG$24,0)))</f>
        <v>9</v>
      </c>
    </row>
    <row r="24" spans="2:30" ht="15" customHeight="1" thickBot="1">
      <c r="B24" s="71">
        <f>IF(مساحة_العمل!$AG$25&gt;20,مساحة_العمل!B24,"")</f>
        <v>20</v>
      </c>
      <c r="C24" s="72" t="str">
        <f>IF(مساحة_العمل!$AG$25&lt;&gt;210,"",INDEX(مساحة_العمل!C$5:C$24,MATCH($B24,مساحة_العمل!$AG$5:'مساحة_العمل'!$AG$24,0)))</f>
        <v>الميريا</v>
      </c>
      <c r="D24" s="72">
        <f>IF(مساحة_العمل!$AG$25&lt;&gt;210,"",INDEX(مساحة_العمل!D$5:D$24,MATCH($B24,مساحة_العمل!$AG$5:'مساحة_العمل'!$AG$24,0)))</f>
        <v>30</v>
      </c>
      <c r="E24" s="72">
        <f>IF(مساحة_العمل!$AG$25&lt;&gt;210,"",INDEX(مساحة_العمل!E$5:E$24,MATCH($B24,مساحة_العمل!$AG$5:'مساحة_العمل'!$AG$24,0)))</f>
        <v>8</v>
      </c>
      <c r="F24" s="72">
        <f>IF(مساحة_العمل!$AG$25&lt;&gt;210,"",INDEX(مساحة_العمل!F$5:F$24,MATCH($B24,مساحة_العمل!$AG$5:'مساحة_العمل'!$AG$24,0)))</f>
        <v>5</v>
      </c>
      <c r="G24" s="72">
        <f>IF(مساحة_العمل!$AG$25&lt;&gt;210,"",INDEX(مساحة_العمل!G$5:G$24,MATCH($B24,مساحة_العمل!$AG$5:'مساحة_العمل'!$AG$24,0)))</f>
        <v>11</v>
      </c>
      <c r="H24" s="72">
        <f>IF(مساحة_العمل!$AG$25&lt;&gt;210,"",INDEX(مساحة_العمل!H$5:H$24,MATCH($B24,مساحة_العمل!$AG$5:'مساحة_العمل'!$AG$24,0)))</f>
        <v>14</v>
      </c>
      <c r="I24" s="72">
        <f>IF(مساحة_العمل!$AG$25&lt;&gt;210,"",INDEX(مساحة_العمل!I$5:I$24,MATCH($B24,مساحة_العمل!$AG$5:'مساحة_العمل'!$AG$24,0)))</f>
        <v>31</v>
      </c>
      <c r="J24" s="72">
        <f>IF(مساحة_العمل!$AG$25&lt;&gt;210,"",INDEX(مساحة_العمل!J$5:J$24,MATCH($B24,مساحة_العمل!$AG$5:'مساحة_العمل'!$AG$24,0)))</f>
        <v>51</v>
      </c>
      <c r="K24" s="72">
        <f>IF(مساحة_العمل!$AG$25&lt;&gt;210,"",INDEX(مساحة_العمل!K$5:K$24,MATCH($B24,مساحة_العمل!$AG$5:'مساحة_العمل'!$AG$24,0)))</f>
        <v>-20</v>
      </c>
      <c r="L24" s="72">
        <f>IF(مساحة_العمل!$AG$25&lt;&gt;210,"",INDEX(مساحة_العمل!L$5:L$24,MATCH($B24,مساحة_العمل!$AG$5:'مساحة_العمل'!$AG$24,0)))</f>
        <v>26</v>
      </c>
      <c r="M24" s="72">
        <f>IF(مساحة_العمل!$AG$25&lt;&gt;210,"",INDEX(مساحة_العمل!M$5:M$24,MATCH($B24,مساحة_العمل!$AG$5:'مساحة_العمل'!$AG$24,0)))</f>
        <v>15</v>
      </c>
      <c r="N24" s="72">
        <f>IF(مساحة_العمل!$AG$25&lt;&gt;210,"",INDEX(مساحة_العمل!N$5:N$24,MATCH($B24,مساحة_العمل!$AG$5:'مساحة_العمل'!$AG$24,0)))</f>
        <v>4</v>
      </c>
      <c r="O24" s="72">
        <f>IF(مساحة_العمل!$AG$25&lt;&gt;210,"",INDEX(مساحة_العمل!O$5:O$24,MATCH($B24,مساحة_العمل!$AG$5:'مساحة_العمل'!$AG$24,0)))</f>
        <v>2</v>
      </c>
      <c r="P24" s="72">
        <f>IF(مساحة_العمل!$AG$25&lt;&gt;210,"",INDEX(مساحة_العمل!P$5:P$24,MATCH($B24,مساحة_العمل!$AG$5:'مساحة_العمل'!$AG$24,0)))</f>
        <v>9</v>
      </c>
      <c r="Q24" s="72">
        <f>IF(مساحة_العمل!$AG$25&lt;&gt;210,"",INDEX(مساحة_العمل!Q$5:Q$24,MATCH($B24,مساحة_العمل!$AG$5:'مساحة_العمل'!$AG$24,0)))</f>
        <v>4</v>
      </c>
      <c r="R24" s="72">
        <f>IF(مساحة_العمل!$AG$25&lt;&gt;210,"",INDEX(مساحة_العمل!R$5:R$24,MATCH($B24,مساحة_العمل!$AG$5:'مساحة_العمل'!$AG$24,0)))</f>
        <v>20</v>
      </c>
      <c r="S24" s="72">
        <f>IF(مساحة_العمل!$AG$25&lt;&gt;210,"",INDEX(مساحة_العمل!S$5:S$24,MATCH($B24,مساحة_العمل!$AG$5:'مساحة_العمل'!$AG$24,0)))</f>
        <v>30</v>
      </c>
      <c r="T24" s="72">
        <f>IF(مساحة_العمل!$AG$25&lt;&gt;210,"",INDEX(مساحة_العمل!T$5:T$24,MATCH($B24,مساحة_العمل!$AG$5:'مساحة_العمل'!$AG$24,0)))</f>
        <v>-10</v>
      </c>
      <c r="U24" s="72">
        <f>IF(مساحة_العمل!$AG$25&lt;&gt;210,"",INDEX(مساحة_العمل!U$5:U$24,MATCH($B24,مساحة_العمل!$AG$5:'مساحة_العمل'!$AG$24,0)))</f>
        <v>15</v>
      </c>
      <c r="V24" s="72">
        <f>IF(مساحة_العمل!$AG$25&lt;&gt;210,"",INDEX(مساحة_العمل!V$5:V$24,MATCH($B24,مساحة_العمل!$AG$5:'مساحة_العمل'!$AG$24,0)))</f>
        <v>15</v>
      </c>
      <c r="W24" s="72">
        <f>IF(مساحة_العمل!$AG$25&lt;&gt;210,"",INDEX(مساحة_العمل!W$5:W$24,MATCH($B24,مساحة_العمل!$AG$5:'مساحة_العمل'!$AG$24,0)))</f>
        <v>4</v>
      </c>
      <c r="X24" s="72">
        <f>IF(مساحة_العمل!$AG$25&lt;&gt;210,"",INDEX(مساحة_العمل!X$5:X$24,MATCH($B24,مساحة_العمل!$AG$5:'مساحة_العمل'!$AG$24,0)))</f>
        <v>3</v>
      </c>
      <c r="Y24" s="72">
        <f>IF(مساحة_العمل!$AG$25&lt;&gt;210,"",INDEX(مساحة_العمل!Y$5:Y$24,MATCH($B24,مساحة_العمل!$AG$5:'مساحة_العمل'!$AG$24,0)))</f>
        <v>2</v>
      </c>
      <c r="Z24" s="72">
        <f>IF(مساحة_العمل!$AG$25&lt;&gt;210,"",INDEX(مساحة_العمل!Z$5:Z$24,MATCH($B24,مساحة_العمل!$AG$5:'مساحة_العمل'!$AG$24,0)))</f>
        <v>10</v>
      </c>
      <c r="AA24" s="72">
        <f>IF(مساحة_العمل!$AG$25&lt;&gt;210,"",INDEX(مساحة_العمل!AA$5:AA$24,MATCH($B24,مساحة_العمل!$AG$5:'مساحة_العمل'!$AG$24,0)))</f>
        <v>11</v>
      </c>
      <c r="AB24" s="72">
        <f>IF(مساحة_العمل!$AG$25&lt;&gt;210,"",INDEX(مساحة_العمل!AB$5:AB$24,MATCH($B24,مساحة_العمل!$AG$5:'مساحة_العمل'!$AG$24,0)))</f>
        <v>21</v>
      </c>
      <c r="AC24" s="72">
        <f>IF(مساحة_العمل!$AG$25&lt;&gt;210,"",INDEX(مساحة_العمل!AC$5:AC$24,MATCH($B24,مساحة_العمل!$AG$5:'مساحة_العمل'!$AG$24,0)))</f>
        <v>-10</v>
      </c>
      <c r="AD24" s="73">
        <f>IF(مساحة_العمل!$AG$25&lt;&gt;210,"",INDEX(مساحة_العمل!AD$5:AD$24,MATCH($B24,مساحة_العمل!$AG$5:'مساحة_العمل'!$AG$24,0)))</f>
        <v>11</v>
      </c>
    </row>
    <row r="25" spans="2:30" ht="13.5" thickTop="1">
      <c r="D25" s="75"/>
      <c r="E25" s="13" t="s">
        <v>85</v>
      </c>
      <c r="L25" s="77"/>
      <c r="M25" s="13" t="s">
        <v>86</v>
      </c>
      <c r="T25" s="79"/>
      <c r="U25" s="13" t="s">
        <v>87</v>
      </c>
    </row>
  </sheetData>
  <sheetProtection password="F0CA" sheet="1" selectLockedCells="1"/>
  <mergeCells count="14">
    <mergeCell ref="B2:AD2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U3"/>
    <mergeCell ref="V3:AD3"/>
    <mergeCell ref="C3:C4"/>
    <mergeCell ref="B3:B4"/>
  </mergeCells>
  <phoneticPr fontId="1" type="noConversion"/>
  <pageMargins left="0.75" right="0.75" top="1" bottom="1" header="0.5" footer="0.5"/>
  <pageSetup orientation="portrait" verticalDpi="0" r:id="rId1"/>
  <headerFooter alignWithMargins="0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J384"/>
  <sheetViews>
    <sheetView showGridLines="0" rightToLeft="1" tabSelected="1" topLeftCell="D299" zoomScaleNormal="100" workbookViewId="0">
      <selection activeCell="H306" sqref="H306"/>
    </sheetView>
  </sheetViews>
  <sheetFormatPr defaultRowHeight="15"/>
  <cols>
    <col min="1" max="1" width="9.140625" style="18"/>
    <col min="2" max="2" width="18.7109375" style="18" customWidth="1"/>
    <col min="3" max="3" width="7.140625" style="17" customWidth="1"/>
    <col min="4" max="4" width="7.5703125" style="17" customWidth="1"/>
    <col min="5" max="5" width="13" style="17" bestFit="1" customWidth="1"/>
    <col min="6" max="6" width="15.7109375" style="17" customWidth="1"/>
    <col min="7" max="7" width="7.42578125" style="17" customWidth="1"/>
    <col min="8" max="8" width="7.28515625" style="17" customWidth="1"/>
    <col min="9" max="9" width="15.7109375" style="17" customWidth="1"/>
    <col min="10" max="11" width="9.42578125" style="18" bestFit="1" customWidth="1"/>
    <col min="12" max="12" width="10.5703125" style="18" bestFit="1" customWidth="1"/>
    <col min="13" max="21" width="9.28515625" style="18" bestFit="1" customWidth="1"/>
    <col min="22" max="22" width="10.42578125" style="18" bestFit="1" customWidth="1"/>
    <col min="23" max="16384" width="9.140625" style="18"/>
  </cols>
  <sheetData>
    <row r="1" spans="3:10" ht="7.5" customHeight="1"/>
    <row r="2" spans="3:10" ht="27.75" customHeight="1">
      <c r="C2" s="27" t="s">
        <v>95</v>
      </c>
      <c r="D2" s="135" t="s">
        <v>94</v>
      </c>
      <c r="E2" s="134"/>
      <c r="F2" s="133" t="s">
        <v>0</v>
      </c>
      <c r="G2" s="133"/>
      <c r="H2" s="133"/>
      <c r="I2" s="134"/>
    </row>
    <row r="3" spans="3:10" ht="21">
      <c r="C3" s="128" t="s">
        <v>9</v>
      </c>
      <c r="D3" s="120" t="s">
        <v>124</v>
      </c>
      <c r="E3" s="121"/>
      <c r="F3" s="28" t="s">
        <v>122</v>
      </c>
      <c r="G3" s="40">
        <v>1</v>
      </c>
      <c r="H3" s="40">
        <v>4</v>
      </c>
      <c r="I3" s="29" t="s">
        <v>16</v>
      </c>
      <c r="J3" s="19"/>
    </row>
    <row r="4" spans="3:10" ht="21">
      <c r="C4" s="128"/>
      <c r="D4" s="120"/>
      <c r="E4" s="121"/>
      <c r="F4" s="30" t="s">
        <v>24</v>
      </c>
      <c r="G4" s="41">
        <v>0</v>
      </c>
      <c r="H4" s="41">
        <v>0</v>
      </c>
      <c r="I4" s="31" t="s">
        <v>11</v>
      </c>
      <c r="J4" s="19"/>
    </row>
    <row r="5" spans="3:10" ht="21">
      <c r="C5" s="128"/>
      <c r="D5" s="120"/>
      <c r="E5" s="121"/>
      <c r="F5" s="30" t="s">
        <v>20</v>
      </c>
      <c r="G5" s="41">
        <v>3</v>
      </c>
      <c r="H5" s="41">
        <v>1</v>
      </c>
      <c r="I5" s="31" t="s">
        <v>18</v>
      </c>
      <c r="J5" s="19"/>
    </row>
    <row r="6" spans="3:10" ht="21">
      <c r="C6" s="128"/>
      <c r="D6" s="120"/>
      <c r="E6" s="121"/>
      <c r="F6" s="30" t="s">
        <v>14</v>
      </c>
      <c r="G6" s="41">
        <v>4</v>
      </c>
      <c r="H6" s="41">
        <v>0</v>
      </c>
      <c r="I6" s="31" t="s">
        <v>26</v>
      </c>
      <c r="J6" s="19"/>
    </row>
    <row r="7" spans="3:10" ht="18" customHeight="1">
      <c r="C7" s="128"/>
      <c r="D7" s="120"/>
      <c r="E7" s="121"/>
      <c r="F7" s="30" t="s">
        <v>123</v>
      </c>
      <c r="G7" s="41">
        <v>1</v>
      </c>
      <c r="H7" s="41">
        <v>0</v>
      </c>
      <c r="I7" s="31" t="s">
        <v>22</v>
      </c>
      <c r="J7" s="19"/>
    </row>
    <row r="8" spans="3:10" ht="21">
      <c r="C8" s="128"/>
      <c r="D8" s="120"/>
      <c r="E8" s="121"/>
      <c r="F8" s="30" t="s">
        <v>12</v>
      </c>
      <c r="G8" s="41">
        <v>0</v>
      </c>
      <c r="H8" s="41">
        <v>0</v>
      </c>
      <c r="I8" s="31" t="s">
        <v>23</v>
      </c>
      <c r="J8" s="19"/>
    </row>
    <row r="9" spans="3:10" ht="21">
      <c r="C9" s="128"/>
      <c r="D9" s="120"/>
      <c r="E9" s="121"/>
      <c r="F9" s="30" t="s">
        <v>21</v>
      </c>
      <c r="G9" s="41">
        <v>0</v>
      </c>
      <c r="H9" s="41">
        <v>0</v>
      </c>
      <c r="I9" s="31" t="s">
        <v>17</v>
      </c>
      <c r="J9" s="19"/>
    </row>
    <row r="10" spans="3:10" ht="21">
      <c r="C10" s="128"/>
      <c r="D10" s="120"/>
      <c r="E10" s="121"/>
      <c r="F10" s="30" t="s">
        <v>27</v>
      </c>
      <c r="G10" s="41">
        <v>0</v>
      </c>
      <c r="H10" s="41">
        <v>3</v>
      </c>
      <c r="I10" s="31" t="s">
        <v>25</v>
      </c>
      <c r="J10" s="19"/>
    </row>
    <row r="11" spans="3:10" ht="21">
      <c r="C11" s="128"/>
      <c r="D11" s="120"/>
      <c r="E11" s="121"/>
      <c r="F11" s="30" t="s">
        <v>13</v>
      </c>
      <c r="G11" s="41">
        <v>1</v>
      </c>
      <c r="H11" s="41">
        <v>3</v>
      </c>
      <c r="I11" s="31" t="s">
        <v>15</v>
      </c>
      <c r="J11" s="19"/>
    </row>
    <row r="12" spans="3:10" ht="18" customHeight="1">
      <c r="C12" s="129"/>
      <c r="D12" s="120"/>
      <c r="E12" s="121"/>
      <c r="F12" s="32" t="s">
        <v>121</v>
      </c>
      <c r="G12" s="42">
        <v>0</v>
      </c>
      <c r="H12" s="42">
        <v>1</v>
      </c>
      <c r="I12" s="33" t="s">
        <v>19</v>
      </c>
      <c r="J12" s="19"/>
    </row>
    <row r="13" spans="3:10" ht="21">
      <c r="C13" s="130" t="s">
        <v>10</v>
      </c>
      <c r="D13" s="122" t="s">
        <v>125</v>
      </c>
      <c r="E13" s="123"/>
      <c r="F13" s="34" t="s">
        <v>16</v>
      </c>
      <c r="G13" s="43">
        <v>0</v>
      </c>
      <c r="H13" s="43">
        <v>0</v>
      </c>
      <c r="I13" s="35" t="s">
        <v>12</v>
      </c>
    </row>
    <row r="14" spans="3:10" ht="21">
      <c r="C14" s="131"/>
      <c r="D14" s="124"/>
      <c r="E14" s="125"/>
      <c r="F14" s="36" t="s">
        <v>18</v>
      </c>
      <c r="G14" s="41">
        <v>4</v>
      </c>
      <c r="H14" s="41">
        <v>1</v>
      </c>
      <c r="I14" s="37" t="s">
        <v>122</v>
      </c>
    </row>
    <row r="15" spans="3:10" ht="21">
      <c r="C15" s="131"/>
      <c r="D15" s="124"/>
      <c r="E15" s="125"/>
      <c r="F15" s="36" t="s">
        <v>22</v>
      </c>
      <c r="G15" s="41">
        <v>4</v>
      </c>
      <c r="H15" s="41">
        <v>0</v>
      </c>
      <c r="I15" s="37" t="s">
        <v>20</v>
      </c>
    </row>
    <row r="16" spans="3:10" ht="18" customHeight="1">
      <c r="C16" s="131"/>
      <c r="D16" s="124"/>
      <c r="E16" s="125"/>
      <c r="F16" s="36" t="s">
        <v>17</v>
      </c>
      <c r="G16" s="41">
        <v>2</v>
      </c>
      <c r="H16" s="41">
        <v>2</v>
      </c>
      <c r="I16" s="37" t="s">
        <v>123</v>
      </c>
    </row>
    <row r="17" spans="3:9" ht="18" customHeight="1">
      <c r="C17" s="131"/>
      <c r="D17" s="124"/>
      <c r="E17" s="125"/>
      <c r="F17" s="36" t="s">
        <v>11</v>
      </c>
      <c r="G17" s="41">
        <v>1</v>
      </c>
      <c r="H17" s="41">
        <v>0</v>
      </c>
      <c r="I17" s="37" t="s">
        <v>21</v>
      </c>
    </row>
    <row r="18" spans="3:9" ht="20.25" customHeight="1">
      <c r="C18" s="131"/>
      <c r="D18" s="124"/>
      <c r="E18" s="125"/>
      <c r="F18" s="36" t="s">
        <v>26</v>
      </c>
      <c r="G18" s="41">
        <v>2</v>
      </c>
      <c r="H18" s="41">
        <v>0</v>
      </c>
      <c r="I18" s="37" t="s">
        <v>24</v>
      </c>
    </row>
    <row r="19" spans="3:9" ht="18" customHeight="1">
      <c r="C19" s="131"/>
      <c r="D19" s="124"/>
      <c r="E19" s="125"/>
      <c r="F19" s="36" t="s">
        <v>19</v>
      </c>
      <c r="G19" s="41">
        <v>1</v>
      </c>
      <c r="H19" s="41">
        <v>2</v>
      </c>
      <c r="I19" s="37" t="s">
        <v>14</v>
      </c>
    </row>
    <row r="20" spans="3:9" ht="18" customHeight="1">
      <c r="C20" s="131"/>
      <c r="D20" s="124"/>
      <c r="E20" s="125"/>
      <c r="F20" s="36" t="s">
        <v>25</v>
      </c>
      <c r="G20" s="41">
        <v>0</v>
      </c>
      <c r="H20" s="41">
        <v>2</v>
      </c>
      <c r="I20" s="37" t="s">
        <v>121</v>
      </c>
    </row>
    <row r="21" spans="3:9" ht="21" customHeight="1">
      <c r="C21" s="131"/>
      <c r="D21" s="124"/>
      <c r="E21" s="125"/>
      <c r="F21" s="36" t="s">
        <v>15</v>
      </c>
      <c r="G21" s="41">
        <v>1</v>
      </c>
      <c r="H21" s="41">
        <v>0</v>
      </c>
      <c r="I21" s="37" t="s">
        <v>27</v>
      </c>
    </row>
    <row r="22" spans="3:9" ht="20.25" customHeight="1">
      <c r="C22" s="132"/>
      <c r="D22" s="126"/>
      <c r="E22" s="127"/>
      <c r="F22" s="38" t="s">
        <v>23</v>
      </c>
      <c r="G22" s="44">
        <v>3</v>
      </c>
      <c r="H22" s="44">
        <v>5</v>
      </c>
      <c r="I22" s="39" t="s">
        <v>13</v>
      </c>
    </row>
    <row r="23" spans="3:9" ht="18.75" customHeight="1">
      <c r="C23" s="128" t="s">
        <v>28</v>
      </c>
      <c r="D23" s="120" t="s">
        <v>126</v>
      </c>
      <c r="E23" s="121"/>
      <c r="F23" s="28" t="s">
        <v>26</v>
      </c>
      <c r="G23" s="40">
        <v>2</v>
      </c>
      <c r="H23" s="40">
        <v>2</v>
      </c>
      <c r="I23" s="29" t="s">
        <v>19</v>
      </c>
    </row>
    <row r="24" spans="3:9" ht="21">
      <c r="C24" s="128"/>
      <c r="D24" s="120"/>
      <c r="E24" s="121"/>
      <c r="F24" s="30" t="s">
        <v>14</v>
      </c>
      <c r="G24" s="41">
        <v>1</v>
      </c>
      <c r="H24" s="41">
        <v>2</v>
      </c>
      <c r="I24" s="31" t="s">
        <v>25</v>
      </c>
    </row>
    <row r="25" spans="3:9" ht="21">
      <c r="C25" s="128"/>
      <c r="D25" s="120"/>
      <c r="E25" s="121"/>
      <c r="F25" s="30" t="s">
        <v>121</v>
      </c>
      <c r="G25" s="41">
        <v>1</v>
      </c>
      <c r="H25" s="41">
        <v>2</v>
      </c>
      <c r="I25" s="31" t="s">
        <v>15</v>
      </c>
    </row>
    <row r="26" spans="3:9" ht="21">
      <c r="C26" s="128"/>
      <c r="D26" s="120"/>
      <c r="E26" s="121"/>
      <c r="F26" s="30" t="s">
        <v>27</v>
      </c>
      <c r="G26" s="41">
        <v>2</v>
      </c>
      <c r="H26" s="41">
        <v>0</v>
      </c>
      <c r="I26" s="31" t="s">
        <v>23</v>
      </c>
    </row>
    <row r="27" spans="3:9" ht="21">
      <c r="C27" s="128"/>
      <c r="D27" s="120"/>
      <c r="E27" s="121"/>
      <c r="F27" s="30" t="s">
        <v>13</v>
      </c>
      <c r="G27" s="41">
        <v>1</v>
      </c>
      <c r="H27" s="41">
        <v>2</v>
      </c>
      <c r="I27" s="31" t="s">
        <v>16</v>
      </c>
    </row>
    <row r="28" spans="3:9" ht="21">
      <c r="C28" s="128"/>
      <c r="D28" s="120"/>
      <c r="E28" s="121"/>
      <c r="F28" s="30" t="s">
        <v>12</v>
      </c>
      <c r="G28" s="41">
        <v>2</v>
      </c>
      <c r="H28" s="41">
        <v>2</v>
      </c>
      <c r="I28" s="31" t="s">
        <v>18</v>
      </c>
    </row>
    <row r="29" spans="3:9" ht="21">
      <c r="C29" s="128"/>
      <c r="D29" s="120"/>
      <c r="E29" s="121"/>
      <c r="F29" s="30" t="s">
        <v>122</v>
      </c>
      <c r="G29" s="41">
        <v>1</v>
      </c>
      <c r="H29" s="41">
        <v>2</v>
      </c>
      <c r="I29" s="31" t="s">
        <v>22</v>
      </c>
    </row>
    <row r="30" spans="3:9" ht="21">
      <c r="C30" s="128"/>
      <c r="D30" s="120"/>
      <c r="E30" s="121"/>
      <c r="F30" s="30" t="s">
        <v>20</v>
      </c>
      <c r="G30" s="41">
        <v>1</v>
      </c>
      <c r="H30" s="41">
        <v>0</v>
      </c>
      <c r="I30" s="31" t="s">
        <v>17</v>
      </c>
    </row>
    <row r="31" spans="3:9" ht="21">
      <c r="C31" s="128"/>
      <c r="D31" s="120"/>
      <c r="E31" s="121"/>
      <c r="F31" s="30" t="s">
        <v>123</v>
      </c>
      <c r="G31" s="41">
        <v>1</v>
      </c>
      <c r="H31" s="41">
        <v>2</v>
      </c>
      <c r="I31" s="31" t="s">
        <v>11</v>
      </c>
    </row>
    <row r="32" spans="3:9" ht="21">
      <c r="C32" s="129"/>
      <c r="D32" s="120"/>
      <c r="E32" s="121"/>
      <c r="F32" s="32" t="s">
        <v>24</v>
      </c>
      <c r="G32" s="42">
        <v>2</v>
      </c>
      <c r="H32" s="42">
        <v>0</v>
      </c>
      <c r="I32" s="33" t="s">
        <v>21</v>
      </c>
    </row>
    <row r="33" spans="3:9" ht="18" customHeight="1">
      <c r="C33" s="130" t="s">
        <v>29</v>
      </c>
      <c r="D33" s="122" t="s">
        <v>127</v>
      </c>
      <c r="E33" s="123"/>
      <c r="F33" s="34" t="s">
        <v>11</v>
      </c>
      <c r="G33" s="43">
        <v>3</v>
      </c>
      <c r="H33" s="43">
        <v>0</v>
      </c>
      <c r="I33" s="35" t="s">
        <v>20</v>
      </c>
    </row>
    <row r="34" spans="3:9" ht="21">
      <c r="C34" s="131"/>
      <c r="D34" s="124"/>
      <c r="E34" s="125"/>
      <c r="F34" s="36" t="s">
        <v>21</v>
      </c>
      <c r="G34" s="41">
        <v>3</v>
      </c>
      <c r="H34" s="41">
        <v>1</v>
      </c>
      <c r="I34" s="37" t="s">
        <v>123</v>
      </c>
    </row>
    <row r="35" spans="3:9" ht="21">
      <c r="C35" s="131"/>
      <c r="D35" s="124"/>
      <c r="E35" s="125"/>
      <c r="F35" s="36" t="s">
        <v>19</v>
      </c>
      <c r="G35" s="41">
        <v>3</v>
      </c>
      <c r="H35" s="41">
        <v>0</v>
      </c>
      <c r="I35" s="37" t="s">
        <v>24</v>
      </c>
    </row>
    <row r="36" spans="3:9" ht="21">
      <c r="C36" s="131"/>
      <c r="D36" s="124"/>
      <c r="E36" s="125"/>
      <c r="F36" s="36" t="s">
        <v>25</v>
      </c>
      <c r="G36" s="41">
        <v>1</v>
      </c>
      <c r="H36" s="41">
        <v>0</v>
      </c>
      <c r="I36" s="37" t="s">
        <v>26</v>
      </c>
    </row>
    <row r="37" spans="3:9" ht="21">
      <c r="C37" s="131"/>
      <c r="D37" s="124"/>
      <c r="E37" s="125"/>
      <c r="F37" s="36" t="s">
        <v>15</v>
      </c>
      <c r="G37" s="41">
        <v>1</v>
      </c>
      <c r="H37" s="41">
        <v>1</v>
      </c>
      <c r="I37" s="37" t="s">
        <v>14</v>
      </c>
    </row>
    <row r="38" spans="3:9" ht="21">
      <c r="C38" s="131"/>
      <c r="D38" s="124"/>
      <c r="E38" s="125"/>
      <c r="F38" s="36" t="s">
        <v>23</v>
      </c>
      <c r="G38" s="41">
        <v>0</v>
      </c>
      <c r="H38" s="41">
        <v>0</v>
      </c>
      <c r="I38" s="37" t="s">
        <v>121</v>
      </c>
    </row>
    <row r="39" spans="3:9" ht="21">
      <c r="C39" s="131"/>
      <c r="D39" s="124"/>
      <c r="E39" s="125"/>
      <c r="F39" s="36" t="s">
        <v>16</v>
      </c>
      <c r="G39" s="41">
        <v>1</v>
      </c>
      <c r="H39" s="41">
        <v>1</v>
      </c>
      <c r="I39" s="37" t="s">
        <v>27</v>
      </c>
    </row>
    <row r="40" spans="3:9" ht="21">
      <c r="C40" s="131"/>
      <c r="D40" s="124"/>
      <c r="E40" s="125"/>
      <c r="F40" s="36" t="s">
        <v>18</v>
      </c>
      <c r="G40" s="41">
        <v>0</v>
      </c>
      <c r="H40" s="41">
        <v>2</v>
      </c>
      <c r="I40" s="37" t="s">
        <v>13</v>
      </c>
    </row>
    <row r="41" spans="3:9" ht="21">
      <c r="C41" s="131"/>
      <c r="D41" s="124"/>
      <c r="E41" s="125"/>
      <c r="F41" s="36" t="s">
        <v>22</v>
      </c>
      <c r="G41" s="41">
        <v>1</v>
      </c>
      <c r="H41" s="41">
        <v>0</v>
      </c>
      <c r="I41" s="37" t="s">
        <v>12</v>
      </c>
    </row>
    <row r="42" spans="3:9" ht="21">
      <c r="C42" s="132"/>
      <c r="D42" s="126"/>
      <c r="E42" s="127"/>
      <c r="F42" s="38" t="s">
        <v>17</v>
      </c>
      <c r="G42" s="44">
        <v>0</v>
      </c>
      <c r="H42" s="44">
        <v>1</v>
      </c>
      <c r="I42" s="39" t="s">
        <v>122</v>
      </c>
    </row>
    <row r="43" spans="3:9" ht="18" customHeight="1">
      <c r="C43" s="128" t="s">
        <v>30</v>
      </c>
      <c r="D43" s="120" t="s">
        <v>128</v>
      </c>
      <c r="E43" s="121"/>
      <c r="F43" s="28" t="s">
        <v>14</v>
      </c>
      <c r="G43" s="40">
        <v>1</v>
      </c>
      <c r="H43" s="40">
        <v>0</v>
      </c>
      <c r="I43" s="29" t="s">
        <v>23</v>
      </c>
    </row>
    <row r="44" spans="3:9" ht="21">
      <c r="C44" s="128"/>
      <c r="D44" s="120"/>
      <c r="E44" s="121"/>
      <c r="F44" s="30" t="s">
        <v>121</v>
      </c>
      <c r="G44" s="41">
        <v>2</v>
      </c>
      <c r="H44" s="41">
        <v>0</v>
      </c>
      <c r="I44" s="31" t="s">
        <v>16</v>
      </c>
    </row>
    <row r="45" spans="3:9" ht="21">
      <c r="C45" s="128"/>
      <c r="D45" s="120"/>
      <c r="E45" s="121"/>
      <c r="F45" s="30" t="s">
        <v>27</v>
      </c>
      <c r="G45" s="41">
        <v>0</v>
      </c>
      <c r="H45" s="41">
        <v>1</v>
      </c>
      <c r="I45" s="31" t="s">
        <v>18</v>
      </c>
    </row>
    <row r="46" spans="3:9" ht="21">
      <c r="C46" s="128"/>
      <c r="D46" s="120"/>
      <c r="E46" s="121"/>
      <c r="F46" s="30" t="s">
        <v>13</v>
      </c>
      <c r="G46" s="41">
        <v>2</v>
      </c>
      <c r="H46" s="41">
        <v>3</v>
      </c>
      <c r="I46" s="31" t="s">
        <v>22</v>
      </c>
    </row>
    <row r="47" spans="3:9" ht="21">
      <c r="C47" s="128"/>
      <c r="D47" s="120"/>
      <c r="E47" s="121"/>
      <c r="F47" s="30" t="s">
        <v>12</v>
      </c>
      <c r="G47" s="41">
        <v>0</v>
      </c>
      <c r="H47" s="41">
        <v>2</v>
      </c>
      <c r="I47" s="31" t="s">
        <v>17</v>
      </c>
    </row>
    <row r="48" spans="3:9" ht="21">
      <c r="C48" s="128"/>
      <c r="D48" s="120"/>
      <c r="E48" s="121"/>
      <c r="F48" s="30" t="s">
        <v>122</v>
      </c>
      <c r="G48" s="41">
        <v>0</v>
      </c>
      <c r="H48" s="41">
        <v>0</v>
      </c>
      <c r="I48" s="31" t="s">
        <v>11</v>
      </c>
    </row>
    <row r="49" spans="3:9" ht="21">
      <c r="C49" s="128"/>
      <c r="D49" s="120"/>
      <c r="E49" s="121"/>
      <c r="F49" s="30" t="s">
        <v>20</v>
      </c>
      <c r="G49" s="41">
        <v>1</v>
      </c>
      <c r="H49" s="41">
        <v>0</v>
      </c>
      <c r="I49" s="31" t="s">
        <v>21</v>
      </c>
    </row>
    <row r="50" spans="3:9" ht="21">
      <c r="C50" s="128"/>
      <c r="D50" s="120"/>
      <c r="E50" s="121"/>
      <c r="F50" s="30" t="s">
        <v>24</v>
      </c>
      <c r="G50" s="41">
        <v>2</v>
      </c>
      <c r="H50" s="41">
        <v>0</v>
      </c>
      <c r="I50" s="31" t="s">
        <v>123</v>
      </c>
    </row>
    <row r="51" spans="3:9" ht="21">
      <c r="C51" s="128"/>
      <c r="D51" s="120"/>
      <c r="E51" s="121"/>
      <c r="F51" s="30" t="s">
        <v>19</v>
      </c>
      <c r="G51" s="41">
        <v>1</v>
      </c>
      <c r="H51" s="41">
        <v>3</v>
      </c>
      <c r="I51" s="31" t="s">
        <v>25</v>
      </c>
    </row>
    <row r="52" spans="3:9" ht="21">
      <c r="C52" s="129"/>
      <c r="D52" s="120"/>
      <c r="E52" s="121"/>
      <c r="F52" s="32" t="s">
        <v>26</v>
      </c>
      <c r="G52" s="42">
        <v>0</v>
      </c>
      <c r="H52" s="42">
        <v>2</v>
      </c>
      <c r="I52" s="33" t="s">
        <v>15</v>
      </c>
    </row>
    <row r="53" spans="3:9" ht="18" customHeight="1">
      <c r="C53" s="130" t="s">
        <v>31</v>
      </c>
      <c r="D53" s="122" t="s">
        <v>129</v>
      </c>
      <c r="E53" s="123"/>
      <c r="F53" s="34" t="s">
        <v>25</v>
      </c>
      <c r="G53" s="43">
        <v>1</v>
      </c>
      <c r="H53" s="43">
        <v>1</v>
      </c>
      <c r="I53" s="35" t="s">
        <v>24</v>
      </c>
    </row>
    <row r="54" spans="3:9" ht="21">
      <c r="C54" s="131"/>
      <c r="D54" s="124"/>
      <c r="E54" s="125"/>
      <c r="F54" s="36" t="s">
        <v>15</v>
      </c>
      <c r="G54" s="41">
        <v>2</v>
      </c>
      <c r="H54" s="41">
        <v>1</v>
      </c>
      <c r="I54" s="37" t="s">
        <v>19</v>
      </c>
    </row>
    <row r="55" spans="3:9" ht="21">
      <c r="C55" s="131"/>
      <c r="D55" s="124"/>
      <c r="E55" s="125"/>
      <c r="F55" s="36" t="s">
        <v>23</v>
      </c>
      <c r="G55" s="41">
        <v>2</v>
      </c>
      <c r="H55" s="41">
        <v>2</v>
      </c>
      <c r="I55" s="37" t="s">
        <v>26</v>
      </c>
    </row>
    <row r="56" spans="3:9" ht="21">
      <c r="C56" s="131"/>
      <c r="D56" s="124"/>
      <c r="E56" s="125"/>
      <c r="F56" s="36" t="s">
        <v>123</v>
      </c>
      <c r="G56" s="41">
        <v>1</v>
      </c>
      <c r="H56" s="41">
        <v>0</v>
      </c>
      <c r="I56" s="37" t="s">
        <v>20</v>
      </c>
    </row>
    <row r="57" spans="3:9" ht="21">
      <c r="C57" s="131"/>
      <c r="D57" s="124"/>
      <c r="E57" s="125"/>
      <c r="F57" s="36" t="s">
        <v>16</v>
      </c>
      <c r="G57" s="41">
        <v>3</v>
      </c>
      <c r="H57" s="41">
        <v>1</v>
      </c>
      <c r="I57" s="37" t="s">
        <v>14</v>
      </c>
    </row>
    <row r="58" spans="3:9" ht="21">
      <c r="C58" s="131"/>
      <c r="D58" s="124"/>
      <c r="E58" s="125"/>
      <c r="F58" s="36" t="s">
        <v>18</v>
      </c>
      <c r="G58" s="41">
        <v>3</v>
      </c>
      <c r="H58" s="41">
        <v>0</v>
      </c>
      <c r="I58" s="37" t="s">
        <v>121</v>
      </c>
    </row>
    <row r="59" spans="3:9" ht="21">
      <c r="C59" s="131"/>
      <c r="D59" s="124"/>
      <c r="E59" s="125"/>
      <c r="F59" s="36" t="s">
        <v>22</v>
      </c>
      <c r="G59" s="41">
        <v>2</v>
      </c>
      <c r="H59" s="41">
        <v>0</v>
      </c>
      <c r="I59" s="37" t="s">
        <v>27</v>
      </c>
    </row>
    <row r="60" spans="3:9" ht="21">
      <c r="C60" s="131"/>
      <c r="D60" s="124"/>
      <c r="E60" s="125"/>
      <c r="F60" s="36" t="s">
        <v>17</v>
      </c>
      <c r="G60" s="41">
        <v>1</v>
      </c>
      <c r="H60" s="41">
        <v>1</v>
      </c>
      <c r="I60" s="37" t="s">
        <v>13</v>
      </c>
    </row>
    <row r="61" spans="3:9" ht="21">
      <c r="C61" s="131"/>
      <c r="D61" s="124"/>
      <c r="E61" s="125"/>
      <c r="F61" s="36" t="s">
        <v>11</v>
      </c>
      <c r="G61" s="41">
        <v>6</v>
      </c>
      <c r="H61" s="41">
        <v>1</v>
      </c>
      <c r="I61" s="37" t="s">
        <v>12</v>
      </c>
    </row>
    <row r="62" spans="3:9" ht="21">
      <c r="C62" s="132"/>
      <c r="D62" s="126"/>
      <c r="E62" s="127"/>
      <c r="F62" s="38" t="s">
        <v>21</v>
      </c>
      <c r="G62" s="44">
        <v>1</v>
      </c>
      <c r="H62" s="44">
        <v>1</v>
      </c>
      <c r="I62" s="39" t="s">
        <v>122</v>
      </c>
    </row>
    <row r="63" spans="3:9" ht="18" customHeight="1">
      <c r="C63" s="128" t="s">
        <v>32</v>
      </c>
      <c r="D63" s="120" t="s">
        <v>130</v>
      </c>
      <c r="E63" s="121"/>
      <c r="F63" s="28" t="s">
        <v>25</v>
      </c>
      <c r="G63" s="40">
        <v>2</v>
      </c>
      <c r="H63" s="40">
        <v>1</v>
      </c>
      <c r="I63" s="29" t="s">
        <v>15</v>
      </c>
    </row>
    <row r="64" spans="3:9" ht="21">
      <c r="C64" s="128"/>
      <c r="D64" s="120"/>
      <c r="E64" s="121"/>
      <c r="F64" s="30" t="s">
        <v>19</v>
      </c>
      <c r="G64" s="41">
        <v>2</v>
      </c>
      <c r="H64" s="41">
        <v>1</v>
      </c>
      <c r="I64" s="31" t="s">
        <v>23</v>
      </c>
    </row>
    <row r="65" spans="3:9" ht="21">
      <c r="C65" s="128"/>
      <c r="D65" s="120"/>
      <c r="E65" s="121"/>
      <c r="F65" s="30" t="s">
        <v>26</v>
      </c>
      <c r="G65" s="41">
        <v>2</v>
      </c>
      <c r="H65" s="41">
        <v>0</v>
      </c>
      <c r="I65" s="31" t="s">
        <v>16</v>
      </c>
    </row>
    <row r="66" spans="3:9" ht="21">
      <c r="C66" s="128"/>
      <c r="D66" s="120"/>
      <c r="E66" s="121"/>
      <c r="F66" s="30" t="s">
        <v>14</v>
      </c>
      <c r="G66" s="41">
        <v>2</v>
      </c>
      <c r="H66" s="41">
        <v>0</v>
      </c>
      <c r="I66" s="31" t="s">
        <v>18</v>
      </c>
    </row>
    <row r="67" spans="3:9" ht="21">
      <c r="C67" s="128"/>
      <c r="D67" s="120"/>
      <c r="E67" s="121"/>
      <c r="F67" s="30" t="s">
        <v>121</v>
      </c>
      <c r="G67" s="41">
        <v>2</v>
      </c>
      <c r="H67" s="41">
        <v>2</v>
      </c>
      <c r="I67" s="31" t="s">
        <v>22</v>
      </c>
    </row>
    <row r="68" spans="3:9" ht="21">
      <c r="C68" s="128"/>
      <c r="D68" s="120"/>
      <c r="E68" s="121"/>
      <c r="F68" s="30" t="s">
        <v>27</v>
      </c>
      <c r="G68" s="41">
        <v>1</v>
      </c>
      <c r="H68" s="41">
        <v>0</v>
      </c>
      <c r="I68" s="31" t="s">
        <v>17</v>
      </c>
    </row>
    <row r="69" spans="3:9" ht="21">
      <c r="C69" s="128"/>
      <c r="D69" s="120"/>
      <c r="E69" s="121"/>
      <c r="F69" s="30" t="s">
        <v>13</v>
      </c>
      <c r="G69" s="41">
        <v>1</v>
      </c>
      <c r="H69" s="41">
        <v>4</v>
      </c>
      <c r="I69" s="31" t="s">
        <v>11</v>
      </c>
    </row>
    <row r="70" spans="3:9" ht="21">
      <c r="C70" s="128"/>
      <c r="D70" s="120"/>
      <c r="E70" s="121"/>
      <c r="F70" s="30" t="s">
        <v>12</v>
      </c>
      <c r="G70" s="41">
        <v>0</v>
      </c>
      <c r="H70" s="41">
        <v>0</v>
      </c>
      <c r="I70" s="31" t="s">
        <v>21</v>
      </c>
    </row>
    <row r="71" spans="3:9" ht="21">
      <c r="C71" s="128"/>
      <c r="D71" s="120"/>
      <c r="E71" s="121"/>
      <c r="F71" s="30" t="s">
        <v>122</v>
      </c>
      <c r="G71" s="41">
        <v>2</v>
      </c>
      <c r="H71" s="41">
        <v>1</v>
      </c>
      <c r="I71" s="31" t="s">
        <v>123</v>
      </c>
    </row>
    <row r="72" spans="3:9" ht="21">
      <c r="C72" s="129"/>
      <c r="D72" s="120"/>
      <c r="E72" s="121"/>
      <c r="F72" s="32" t="s">
        <v>24</v>
      </c>
      <c r="G72" s="42">
        <v>0</v>
      </c>
      <c r="H72" s="42">
        <v>1</v>
      </c>
      <c r="I72" s="33" t="s">
        <v>20</v>
      </c>
    </row>
    <row r="73" spans="3:9" ht="18" customHeight="1">
      <c r="C73" s="130" t="s">
        <v>33</v>
      </c>
      <c r="D73" s="122" t="s">
        <v>131</v>
      </c>
      <c r="E73" s="123"/>
      <c r="F73" s="34" t="s">
        <v>15</v>
      </c>
      <c r="G73" s="43">
        <v>1</v>
      </c>
      <c r="H73" s="43">
        <v>2</v>
      </c>
      <c r="I73" s="35" t="s">
        <v>24</v>
      </c>
    </row>
    <row r="74" spans="3:9" ht="21">
      <c r="C74" s="131"/>
      <c r="D74" s="124"/>
      <c r="E74" s="125"/>
      <c r="F74" s="36" t="s">
        <v>23</v>
      </c>
      <c r="G74" s="41">
        <v>0</v>
      </c>
      <c r="H74" s="41">
        <v>2</v>
      </c>
      <c r="I74" s="37" t="s">
        <v>25</v>
      </c>
    </row>
    <row r="75" spans="3:9" ht="21">
      <c r="C75" s="131"/>
      <c r="D75" s="124"/>
      <c r="E75" s="125"/>
      <c r="F75" s="36" t="s">
        <v>16</v>
      </c>
      <c r="G75" s="41">
        <v>4</v>
      </c>
      <c r="H75" s="41">
        <v>3</v>
      </c>
      <c r="I75" s="37" t="s">
        <v>19</v>
      </c>
    </row>
    <row r="76" spans="3:9" ht="21">
      <c r="C76" s="131"/>
      <c r="D76" s="124"/>
      <c r="E76" s="125"/>
      <c r="F76" s="36" t="s">
        <v>18</v>
      </c>
      <c r="G76" s="41">
        <v>3</v>
      </c>
      <c r="H76" s="41">
        <v>0</v>
      </c>
      <c r="I76" s="37" t="s">
        <v>26</v>
      </c>
    </row>
    <row r="77" spans="3:9" ht="21">
      <c r="C77" s="131"/>
      <c r="D77" s="124"/>
      <c r="E77" s="125"/>
      <c r="F77" s="36" t="s">
        <v>22</v>
      </c>
      <c r="G77" s="41">
        <v>2</v>
      </c>
      <c r="H77" s="41">
        <v>0</v>
      </c>
      <c r="I77" s="37" t="s">
        <v>14</v>
      </c>
    </row>
    <row r="78" spans="3:9" ht="21">
      <c r="C78" s="131"/>
      <c r="D78" s="124"/>
      <c r="E78" s="125"/>
      <c r="F78" s="36" t="s">
        <v>17</v>
      </c>
      <c r="G78" s="41">
        <v>1</v>
      </c>
      <c r="H78" s="41">
        <v>1</v>
      </c>
      <c r="I78" s="37" t="s">
        <v>121</v>
      </c>
    </row>
    <row r="79" spans="3:9" ht="21">
      <c r="C79" s="131"/>
      <c r="D79" s="124"/>
      <c r="E79" s="125"/>
      <c r="F79" s="36" t="s">
        <v>11</v>
      </c>
      <c r="G79" s="41">
        <v>6</v>
      </c>
      <c r="H79" s="41">
        <v>1</v>
      </c>
      <c r="I79" s="37" t="s">
        <v>27</v>
      </c>
    </row>
    <row r="80" spans="3:9" ht="21">
      <c r="C80" s="131"/>
      <c r="D80" s="124"/>
      <c r="E80" s="125"/>
      <c r="F80" s="36" t="s">
        <v>21</v>
      </c>
      <c r="G80" s="41">
        <v>3</v>
      </c>
      <c r="H80" s="41">
        <v>0</v>
      </c>
      <c r="I80" s="37" t="s">
        <v>13</v>
      </c>
    </row>
    <row r="81" spans="3:9" ht="21">
      <c r="C81" s="131"/>
      <c r="D81" s="124"/>
      <c r="E81" s="125"/>
      <c r="F81" s="36" t="s">
        <v>123</v>
      </c>
      <c r="G81" s="41">
        <v>3</v>
      </c>
      <c r="H81" s="41">
        <v>0</v>
      </c>
      <c r="I81" s="37" t="s">
        <v>12</v>
      </c>
    </row>
    <row r="82" spans="3:9" ht="21">
      <c r="C82" s="132"/>
      <c r="D82" s="126"/>
      <c r="E82" s="127"/>
      <c r="F82" s="38" t="s">
        <v>20</v>
      </c>
      <c r="G82" s="44">
        <v>2</v>
      </c>
      <c r="H82" s="44">
        <v>1</v>
      </c>
      <c r="I82" s="39" t="s">
        <v>122</v>
      </c>
    </row>
    <row r="83" spans="3:9" ht="18" customHeight="1">
      <c r="C83" s="128" t="s">
        <v>34</v>
      </c>
      <c r="D83" s="120" t="s">
        <v>132</v>
      </c>
      <c r="E83" s="121"/>
      <c r="F83" s="28" t="s">
        <v>15</v>
      </c>
      <c r="G83" s="40">
        <v>1</v>
      </c>
      <c r="H83" s="40">
        <v>1</v>
      </c>
      <c r="I83" s="29" t="s">
        <v>23</v>
      </c>
    </row>
    <row r="84" spans="3:9" ht="21">
      <c r="C84" s="128"/>
      <c r="D84" s="120"/>
      <c r="E84" s="121"/>
      <c r="F84" s="30" t="s">
        <v>25</v>
      </c>
      <c r="G84" s="41">
        <v>5</v>
      </c>
      <c r="H84" s="41">
        <v>0</v>
      </c>
      <c r="I84" s="31" t="s">
        <v>16</v>
      </c>
    </row>
    <row r="85" spans="3:9" ht="21">
      <c r="C85" s="128"/>
      <c r="D85" s="120"/>
      <c r="E85" s="121"/>
      <c r="F85" s="30" t="s">
        <v>19</v>
      </c>
      <c r="G85" s="41">
        <v>3</v>
      </c>
      <c r="H85" s="41">
        <v>0</v>
      </c>
      <c r="I85" s="31" t="s">
        <v>18</v>
      </c>
    </row>
    <row r="86" spans="3:9" ht="21">
      <c r="C86" s="128"/>
      <c r="D86" s="120"/>
      <c r="E86" s="121"/>
      <c r="F86" s="30" t="s">
        <v>26</v>
      </c>
      <c r="G86" s="41">
        <v>1</v>
      </c>
      <c r="H86" s="41">
        <v>1</v>
      </c>
      <c r="I86" s="31" t="s">
        <v>22</v>
      </c>
    </row>
    <row r="87" spans="3:9" ht="21">
      <c r="C87" s="128"/>
      <c r="D87" s="120"/>
      <c r="E87" s="121"/>
      <c r="F87" s="30" t="s">
        <v>14</v>
      </c>
      <c r="G87" s="41">
        <v>1</v>
      </c>
      <c r="H87" s="41">
        <v>1</v>
      </c>
      <c r="I87" s="31" t="s">
        <v>17</v>
      </c>
    </row>
    <row r="88" spans="3:9" ht="21">
      <c r="C88" s="128"/>
      <c r="D88" s="120"/>
      <c r="E88" s="121"/>
      <c r="F88" s="30" t="s">
        <v>121</v>
      </c>
      <c r="G88" s="41">
        <v>1</v>
      </c>
      <c r="H88" s="41">
        <v>3</v>
      </c>
      <c r="I88" s="31" t="s">
        <v>11</v>
      </c>
    </row>
    <row r="89" spans="3:9" ht="21">
      <c r="C89" s="128"/>
      <c r="D89" s="120"/>
      <c r="E89" s="121"/>
      <c r="F89" s="30" t="s">
        <v>27</v>
      </c>
      <c r="G89" s="41">
        <v>4</v>
      </c>
      <c r="H89" s="41">
        <v>1</v>
      </c>
      <c r="I89" s="31" t="s">
        <v>21</v>
      </c>
    </row>
    <row r="90" spans="3:9" ht="21">
      <c r="C90" s="128"/>
      <c r="D90" s="120"/>
      <c r="E90" s="121"/>
      <c r="F90" s="30" t="s">
        <v>13</v>
      </c>
      <c r="G90" s="41">
        <v>1</v>
      </c>
      <c r="H90" s="41">
        <v>2</v>
      </c>
      <c r="I90" s="31" t="s">
        <v>123</v>
      </c>
    </row>
    <row r="91" spans="3:9" ht="21">
      <c r="C91" s="128"/>
      <c r="D91" s="120"/>
      <c r="E91" s="121"/>
      <c r="F91" s="30" t="s">
        <v>12</v>
      </c>
      <c r="G91" s="41">
        <v>3</v>
      </c>
      <c r="H91" s="41">
        <v>0</v>
      </c>
      <c r="I91" s="31" t="s">
        <v>20</v>
      </c>
    </row>
    <row r="92" spans="3:9" ht="21">
      <c r="C92" s="129"/>
      <c r="D92" s="120"/>
      <c r="E92" s="121"/>
      <c r="F92" s="32" t="s">
        <v>24</v>
      </c>
      <c r="G92" s="42">
        <v>2</v>
      </c>
      <c r="H92" s="42">
        <v>1</v>
      </c>
      <c r="I92" s="33" t="s">
        <v>122</v>
      </c>
    </row>
    <row r="93" spans="3:9" ht="18" customHeight="1">
      <c r="C93" s="130" t="s">
        <v>35</v>
      </c>
      <c r="D93" s="122" t="s">
        <v>133</v>
      </c>
      <c r="E93" s="123"/>
      <c r="F93" s="34" t="s">
        <v>23</v>
      </c>
      <c r="G93" s="43">
        <v>3</v>
      </c>
      <c r="H93" s="43">
        <v>2</v>
      </c>
      <c r="I93" s="35" t="s">
        <v>24</v>
      </c>
    </row>
    <row r="94" spans="3:9" ht="21">
      <c r="C94" s="131"/>
      <c r="D94" s="124"/>
      <c r="E94" s="125"/>
      <c r="F94" s="36" t="s">
        <v>16</v>
      </c>
      <c r="G94" s="41">
        <v>2</v>
      </c>
      <c r="H94" s="41">
        <v>0</v>
      </c>
      <c r="I94" s="37" t="s">
        <v>15</v>
      </c>
    </row>
    <row r="95" spans="3:9" ht="21">
      <c r="C95" s="131"/>
      <c r="D95" s="124"/>
      <c r="E95" s="125"/>
      <c r="F95" s="36" t="s">
        <v>18</v>
      </c>
      <c r="G95" s="41">
        <v>1</v>
      </c>
      <c r="H95" s="41">
        <v>3</v>
      </c>
      <c r="I95" s="37" t="s">
        <v>25</v>
      </c>
    </row>
    <row r="96" spans="3:9" ht="21">
      <c r="C96" s="131"/>
      <c r="D96" s="124"/>
      <c r="E96" s="125"/>
      <c r="F96" s="36" t="s">
        <v>22</v>
      </c>
      <c r="G96" s="41">
        <v>4</v>
      </c>
      <c r="H96" s="41">
        <v>1</v>
      </c>
      <c r="I96" s="37" t="s">
        <v>19</v>
      </c>
    </row>
    <row r="97" spans="3:9" ht="21">
      <c r="C97" s="131"/>
      <c r="D97" s="124"/>
      <c r="E97" s="125"/>
      <c r="F97" s="36" t="s">
        <v>17</v>
      </c>
      <c r="G97" s="41">
        <v>1</v>
      </c>
      <c r="H97" s="41">
        <v>1</v>
      </c>
      <c r="I97" s="37" t="s">
        <v>26</v>
      </c>
    </row>
    <row r="98" spans="3:9" ht="21">
      <c r="C98" s="131"/>
      <c r="D98" s="124"/>
      <c r="E98" s="125"/>
      <c r="F98" s="36" t="s">
        <v>11</v>
      </c>
      <c r="G98" s="41">
        <v>2</v>
      </c>
      <c r="H98" s="41">
        <v>0</v>
      </c>
      <c r="I98" s="37" t="s">
        <v>14</v>
      </c>
    </row>
    <row r="99" spans="3:9" ht="21">
      <c r="C99" s="131"/>
      <c r="D99" s="124"/>
      <c r="E99" s="125"/>
      <c r="F99" s="36" t="s">
        <v>21</v>
      </c>
      <c r="G99" s="41">
        <v>3</v>
      </c>
      <c r="H99" s="41">
        <v>0</v>
      </c>
      <c r="I99" s="37" t="s">
        <v>121</v>
      </c>
    </row>
    <row r="100" spans="3:9" ht="21">
      <c r="C100" s="131"/>
      <c r="D100" s="124"/>
      <c r="E100" s="125"/>
      <c r="F100" s="36" t="s">
        <v>123</v>
      </c>
      <c r="G100" s="41">
        <v>1</v>
      </c>
      <c r="H100" s="41">
        <v>0</v>
      </c>
      <c r="I100" s="37" t="s">
        <v>27</v>
      </c>
    </row>
    <row r="101" spans="3:9" ht="21">
      <c r="C101" s="131"/>
      <c r="D101" s="124"/>
      <c r="E101" s="125"/>
      <c r="F101" s="36" t="s">
        <v>20</v>
      </c>
      <c r="G101" s="41">
        <v>1</v>
      </c>
      <c r="H101" s="41">
        <v>0</v>
      </c>
      <c r="I101" s="37" t="s">
        <v>13</v>
      </c>
    </row>
    <row r="102" spans="3:9" ht="21">
      <c r="C102" s="132"/>
      <c r="D102" s="126"/>
      <c r="E102" s="127"/>
      <c r="F102" s="38" t="s">
        <v>122</v>
      </c>
      <c r="G102" s="44">
        <v>1</v>
      </c>
      <c r="H102" s="44">
        <v>2</v>
      </c>
      <c r="I102" s="39" t="s">
        <v>12</v>
      </c>
    </row>
    <row r="103" spans="3:9" ht="18" customHeight="1">
      <c r="C103" s="128" t="s">
        <v>36</v>
      </c>
      <c r="D103" s="120" t="s">
        <v>134</v>
      </c>
      <c r="E103" s="121"/>
      <c r="F103" s="28" t="s">
        <v>15</v>
      </c>
      <c r="G103" s="40">
        <v>2</v>
      </c>
      <c r="H103" s="40">
        <v>0</v>
      </c>
      <c r="I103" s="29" t="s">
        <v>18</v>
      </c>
    </row>
    <row r="104" spans="3:9" ht="21">
      <c r="C104" s="128"/>
      <c r="D104" s="120"/>
      <c r="E104" s="121"/>
      <c r="F104" s="30" t="s">
        <v>25</v>
      </c>
      <c r="G104" s="41">
        <v>3</v>
      </c>
      <c r="H104" s="41">
        <v>1</v>
      </c>
      <c r="I104" s="31" t="s">
        <v>22</v>
      </c>
    </row>
    <row r="105" spans="3:9" ht="21">
      <c r="C105" s="128"/>
      <c r="D105" s="120"/>
      <c r="E105" s="121"/>
      <c r="F105" s="30" t="s">
        <v>19</v>
      </c>
      <c r="G105" s="41">
        <v>1</v>
      </c>
      <c r="H105" s="41">
        <v>0</v>
      </c>
      <c r="I105" s="31" t="s">
        <v>17</v>
      </c>
    </row>
    <row r="106" spans="3:9" ht="21">
      <c r="C106" s="128"/>
      <c r="D106" s="120"/>
      <c r="E106" s="121"/>
      <c r="F106" s="30" t="s">
        <v>26</v>
      </c>
      <c r="G106" s="41">
        <v>0</v>
      </c>
      <c r="H106" s="41">
        <v>1</v>
      </c>
      <c r="I106" s="31" t="s">
        <v>11</v>
      </c>
    </row>
    <row r="107" spans="3:9" ht="21">
      <c r="C107" s="128"/>
      <c r="D107" s="120"/>
      <c r="E107" s="121"/>
      <c r="F107" s="30" t="s">
        <v>14</v>
      </c>
      <c r="G107" s="41">
        <v>3</v>
      </c>
      <c r="H107" s="41">
        <v>0</v>
      </c>
      <c r="I107" s="31" t="s">
        <v>21</v>
      </c>
    </row>
    <row r="108" spans="3:9" ht="21">
      <c r="C108" s="128"/>
      <c r="D108" s="120"/>
      <c r="E108" s="121"/>
      <c r="F108" s="30" t="s">
        <v>121</v>
      </c>
      <c r="G108" s="41">
        <v>2</v>
      </c>
      <c r="H108" s="41">
        <v>1</v>
      </c>
      <c r="I108" s="31" t="s">
        <v>123</v>
      </c>
    </row>
    <row r="109" spans="3:9" ht="21">
      <c r="C109" s="128"/>
      <c r="D109" s="120"/>
      <c r="E109" s="121"/>
      <c r="F109" s="30" t="s">
        <v>27</v>
      </c>
      <c r="G109" s="41">
        <v>0</v>
      </c>
      <c r="H109" s="41">
        <v>0</v>
      </c>
      <c r="I109" s="31" t="s">
        <v>20</v>
      </c>
    </row>
    <row r="110" spans="3:9" ht="21">
      <c r="C110" s="128"/>
      <c r="D110" s="120"/>
      <c r="E110" s="121"/>
      <c r="F110" s="30" t="s">
        <v>13</v>
      </c>
      <c r="G110" s="41">
        <v>1</v>
      </c>
      <c r="H110" s="41">
        <v>0</v>
      </c>
      <c r="I110" s="31" t="s">
        <v>122</v>
      </c>
    </row>
    <row r="111" spans="3:9" ht="21">
      <c r="C111" s="128"/>
      <c r="D111" s="120"/>
      <c r="E111" s="121"/>
      <c r="F111" s="30" t="s">
        <v>24</v>
      </c>
      <c r="G111" s="41">
        <v>0</v>
      </c>
      <c r="H111" s="41">
        <v>0</v>
      </c>
      <c r="I111" s="31" t="s">
        <v>12</v>
      </c>
    </row>
    <row r="112" spans="3:9" ht="21">
      <c r="C112" s="129"/>
      <c r="D112" s="120"/>
      <c r="E112" s="121"/>
      <c r="F112" s="32" t="s">
        <v>23</v>
      </c>
      <c r="G112" s="42">
        <v>1</v>
      </c>
      <c r="H112" s="42">
        <v>2</v>
      </c>
      <c r="I112" s="33" t="s">
        <v>16</v>
      </c>
    </row>
    <row r="113" spans="3:9" ht="18" customHeight="1">
      <c r="C113" s="130" t="s">
        <v>37</v>
      </c>
      <c r="D113" s="122" t="s">
        <v>135</v>
      </c>
      <c r="E113" s="123"/>
      <c r="F113" s="34" t="s">
        <v>16</v>
      </c>
      <c r="G113" s="43">
        <v>1</v>
      </c>
      <c r="H113" s="43">
        <v>2</v>
      </c>
      <c r="I113" s="35" t="s">
        <v>24</v>
      </c>
    </row>
    <row r="114" spans="3:9" ht="21">
      <c r="C114" s="131"/>
      <c r="D114" s="124"/>
      <c r="E114" s="125"/>
      <c r="F114" s="36" t="s">
        <v>18</v>
      </c>
      <c r="G114" s="41">
        <v>1</v>
      </c>
      <c r="H114" s="41">
        <v>1</v>
      </c>
      <c r="I114" s="37" t="s">
        <v>23</v>
      </c>
    </row>
    <row r="115" spans="3:9" ht="21">
      <c r="C115" s="131"/>
      <c r="D115" s="124"/>
      <c r="E115" s="125"/>
      <c r="F115" s="36" t="s">
        <v>22</v>
      </c>
      <c r="G115" s="41">
        <v>1</v>
      </c>
      <c r="H115" s="41">
        <v>1</v>
      </c>
      <c r="I115" s="37" t="s">
        <v>15</v>
      </c>
    </row>
    <row r="116" spans="3:9" ht="21">
      <c r="C116" s="131"/>
      <c r="D116" s="124"/>
      <c r="E116" s="125"/>
      <c r="F116" s="36" t="s">
        <v>17</v>
      </c>
      <c r="G116" s="41">
        <v>0</v>
      </c>
      <c r="H116" s="41">
        <v>8</v>
      </c>
      <c r="I116" s="37" t="s">
        <v>25</v>
      </c>
    </row>
    <row r="117" spans="3:9" ht="21">
      <c r="C117" s="131"/>
      <c r="D117" s="124"/>
      <c r="E117" s="125"/>
      <c r="F117" s="36" t="s">
        <v>11</v>
      </c>
      <c r="G117" s="41">
        <v>5</v>
      </c>
      <c r="H117" s="41">
        <v>1</v>
      </c>
      <c r="I117" s="37" t="s">
        <v>19</v>
      </c>
    </row>
    <row r="118" spans="3:9" ht="21">
      <c r="C118" s="131"/>
      <c r="D118" s="124"/>
      <c r="E118" s="125"/>
      <c r="F118" s="36" t="s">
        <v>21</v>
      </c>
      <c r="G118" s="41">
        <v>1</v>
      </c>
      <c r="H118" s="41">
        <v>0</v>
      </c>
      <c r="I118" s="37" t="s">
        <v>26</v>
      </c>
    </row>
    <row r="119" spans="3:9" ht="21">
      <c r="C119" s="131"/>
      <c r="D119" s="124"/>
      <c r="E119" s="125"/>
      <c r="F119" s="36" t="s">
        <v>123</v>
      </c>
      <c r="G119" s="41">
        <v>2</v>
      </c>
      <c r="H119" s="41">
        <v>4</v>
      </c>
      <c r="I119" s="37" t="s">
        <v>14</v>
      </c>
    </row>
    <row r="120" spans="3:9" ht="21">
      <c r="C120" s="131"/>
      <c r="D120" s="124"/>
      <c r="E120" s="125"/>
      <c r="F120" s="36" t="s">
        <v>20</v>
      </c>
      <c r="G120" s="41">
        <v>3</v>
      </c>
      <c r="H120" s="41">
        <v>0</v>
      </c>
      <c r="I120" s="37" t="s">
        <v>121</v>
      </c>
    </row>
    <row r="121" spans="3:9" ht="21">
      <c r="C121" s="131"/>
      <c r="D121" s="124"/>
      <c r="E121" s="125"/>
      <c r="F121" s="36" t="s">
        <v>122</v>
      </c>
      <c r="G121" s="41">
        <v>3</v>
      </c>
      <c r="H121" s="41">
        <v>1</v>
      </c>
      <c r="I121" s="37" t="s">
        <v>27</v>
      </c>
    </row>
    <row r="122" spans="3:9" ht="21">
      <c r="C122" s="132"/>
      <c r="D122" s="126"/>
      <c r="E122" s="127"/>
      <c r="F122" s="38" t="s">
        <v>12</v>
      </c>
      <c r="G122" s="44">
        <v>3</v>
      </c>
      <c r="H122" s="44">
        <v>0</v>
      </c>
      <c r="I122" s="39" t="s">
        <v>13</v>
      </c>
    </row>
    <row r="123" spans="3:9" ht="18" customHeight="1">
      <c r="C123" s="128" t="s">
        <v>38</v>
      </c>
      <c r="D123" s="120" t="s">
        <v>136</v>
      </c>
      <c r="E123" s="121"/>
      <c r="F123" s="28" t="s">
        <v>16</v>
      </c>
      <c r="G123" s="40">
        <v>1</v>
      </c>
      <c r="H123" s="40">
        <v>3</v>
      </c>
      <c r="I123" s="29" t="s">
        <v>18</v>
      </c>
    </row>
    <row r="124" spans="3:9" ht="21">
      <c r="C124" s="128"/>
      <c r="D124" s="120"/>
      <c r="E124" s="121"/>
      <c r="F124" s="30" t="s">
        <v>23</v>
      </c>
      <c r="G124" s="41">
        <v>0</v>
      </c>
      <c r="H124" s="41">
        <v>3</v>
      </c>
      <c r="I124" s="31" t="s">
        <v>22</v>
      </c>
    </row>
    <row r="125" spans="3:9" ht="21">
      <c r="C125" s="128"/>
      <c r="D125" s="120"/>
      <c r="E125" s="121"/>
      <c r="F125" s="30" t="s">
        <v>15</v>
      </c>
      <c r="G125" s="41">
        <v>2</v>
      </c>
      <c r="H125" s="41">
        <v>1</v>
      </c>
      <c r="I125" s="31" t="s">
        <v>17</v>
      </c>
    </row>
    <row r="126" spans="3:9" ht="21">
      <c r="C126" s="128"/>
      <c r="D126" s="120"/>
      <c r="E126" s="121"/>
      <c r="F126" s="30" t="s">
        <v>25</v>
      </c>
      <c r="G126" s="41">
        <v>5</v>
      </c>
      <c r="H126" s="41">
        <v>0</v>
      </c>
      <c r="I126" s="31" t="s">
        <v>11</v>
      </c>
    </row>
    <row r="127" spans="3:9" ht="21">
      <c r="C127" s="128"/>
      <c r="D127" s="120"/>
      <c r="E127" s="121"/>
      <c r="F127" s="30" t="s">
        <v>19</v>
      </c>
      <c r="G127" s="41">
        <v>1</v>
      </c>
      <c r="H127" s="41">
        <v>0</v>
      </c>
      <c r="I127" s="31" t="s">
        <v>21</v>
      </c>
    </row>
    <row r="128" spans="3:9" ht="21">
      <c r="C128" s="128"/>
      <c r="D128" s="120"/>
      <c r="E128" s="121"/>
      <c r="F128" s="30" t="s">
        <v>26</v>
      </c>
      <c r="G128" s="41">
        <v>1</v>
      </c>
      <c r="H128" s="41">
        <v>3</v>
      </c>
      <c r="I128" s="31" t="s">
        <v>123</v>
      </c>
    </row>
    <row r="129" spans="3:9" ht="21">
      <c r="C129" s="128"/>
      <c r="D129" s="120"/>
      <c r="E129" s="121"/>
      <c r="F129" s="30" t="s">
        <v>14</v>
      </c>
      <c r="G129" s="41">
        <v>2</v>
      </c>
      <c r="H129" s="41">
        <v>3</v>
      </c>
      <c r="I129" s="31" t="s">
        <v>20</v>
      </c>
    </row>
    <row r="130" spans="3:9" ht="21">
      <c r="C130" s="128"/>
      <c r="D130" s="120"/>
      <c r="E130" s="121"/>
      <c r="F130" s="30" t="s">
        <v>121</v>
      </c>
      <c r="G130" s="41">
        <v>3</v>
      </c>
      <c r="H130" s="41">
        <v>1</v>
      </c>
      <c r="I130" s="31" t="s">
        <v>122</v>
      </c>
    </row>
    <row r="131" spans="3:9" ht="21">
      <c r="C131" s="128"/>
      <c r="D131" s="120"/>
      <c r="E131" s="121"/>
      <c r="F131" s="30" t="s">
        <v>27</v>
      </c>
      <c r="G131" s="41">
        <v>1</v>
      </c>
      <c r="H131" s="41">
        <v>0</v>
      </c>
      <c r="I131" s="31" t="s">
        <v>12</v>
      </c>
    </row>
    <row r="132" spans="3:9" ht="21">
      <c r="C132" s="129"/>
      <c r="D132" s="120"/>
      <c r="E132" s="121"/>
      <c r="F132" s="32" t="s">
        <v>24</v>
      </c>
      <c r="G132" s="42">
        <v>2</v>
      </c>
      <c r="H132" s="42">
        <v>0</v>
      </c>
      <c r="I132" s="33" t="s">
        <v>13</v>
      </c>
    </row>
    <row r="133" spans="3:9" ht="18" customHeight="1">
      <c r="C133" s="130" t="s">
        <v>39</v>
      </c>
      <c r="D133" s="122" t="s">
        <v>137</v>
      </c>
      <c r="E133" s="123"/>
      <c r="F133" s="34" t="s">
        <v>18</v>
      </c>
      <c r="G133" s="43">
        <v>3</v>
      </c>
      <c r="H133" s="43">
        <v>0</v>
      </c>
      <c r="I133" s="35" t="s">
        <v>24</v>
      </c>
    </row>
    <row r="134" spans="3:9" ht="21">
      <c r="C134" s="131"/>
      <c r="D134" s="124"/>
      <c r="E134" s="125"/>
      <c r="F134" s="36" t="s">
        <v>22</v>
      </c>
      <c r="G134" s="41">
        <v>1</v>
      </c>
      <c r="H134" s="41">
        <v>0</v>
      </c>
      <c r="I134" s="37" t="s">
        <v>16</v>
      </c>
    </row>
    <row r="135" spans="3:9" ht="21">
      <c r="C135" s="131"/>
      <c r="D135" s="124"/>
      <c r="E135" s="125"/>
      <c r="F135" s="36" t="s">
        <v>17</v>
      </c>
      <c r="G135" s="41">
        <v>1</v>
      </c>
      <c r="H135" s="41">
        <v>1</v>
      </c>
      <c r="I135" s="37" t="s">
        <v>23</v>
      </c>
    </row>
    <row r="136" spans="3:9" ht="21">
      <c r="C136" s="131"/>
      <c r="D136" s="124"/>
      <c r="E136" s="125"/>
      <c r="F136" s="36" t="s">
        <v>11</v>
      </c>
      <c r="G136" s="41">
        <v>2</v>
      </c>
      <c r="H136" s="41">
        <v>0</v>
      </c>
      <c r="I136" s="37" t="s">
        <v>15</v>
      </c>
    </row>
    <row r="137" spans="3:9" ht="21">
      <c r="C137" s="131"/>
      <c r="D137" s="124"/>
      <c r="E137" s="125"/>
      <c r="F137" s="36" t="s">
        <v>21</v>
      </c>
      <c r="G137" s="41">
        <v>0</v>
      </c>
      <c r="H137" s="41">
        <v>3</v>
      </c>
      <c r="I137" s="37" t="s">
        <v>25</v>
      </c>
    </row>
    <row r="138" spans="3:9" ht="21">
      <c r="C138" s="131"/>
      <c r="D138" s="124"/>
      <c r="E138" s="125"/>
      <c r="F138" s="36" t="s">
        <v>123</v>
      </c>
      <c r="G138" s="41">
        <v>2</v>
      </c>
      <c r="H138" s="41">
        <v>0</v>
      </c>
      <c r="I138" s="37" t="s">
        <v>19</v>
      </c>
    </row>
    <row r="139" spans="3:9" ht="21">
      <c r="C139" s="131"/>
      <c r="D139" s="124"/>
      <c r="E139" s="125"/>
      <c r="F139" s="36" t="s">
        <v>20</v>
      </c>
      <c r="G139" s="41">
        <v>1</v>
      </c>
      <c r="H139" s="41">
        <v>0</v>
      </c>
      <c r="I139" s="37" t="s">
        <v>26</v>
      </c>
    </row>
    <row r="140" spans="3:9" ht="21">
      <c r="C140" s="131"/>
      <c r="D140" s="124"/>
      <c r="E140" s="125"/>
      <c r="F140" s="36" t="s">
        <v>122</v>
      </c>
      <c r="G140" s="41">
        <v>2</v>
      </c>
      <c r="H140" s="41">
        <v>0</v>
      </c>
      <c r="I140" s="37" t="s">
        <v>14</v>
      </c>
    </row>
    <row r="141" spans="3:9" ht="21">
      <c r="C141" s="131"/>
      <c r="D141" s="124"/>
      <c r="E141" s="125"/>
      <c r="F141" s="36" t="s">
        <v>12</v>
      </c>
      <c r="G141" s="41">
        <v>1</v>
      </c>
      <c r="H141" s="41">
        <v>0</v>
      </c>
      <c r="I141" s="37" t="s">
        <v>121</v>
      </c>
    </row>
    <row r="142" spans="3:9" ht="21">
      <c r="C142" s="132"/>
      <c r="D142" s="126"/>
      <c r="E142" s="127"/>
      <c r="F142" s="38" t="s">
        <v>13</v>
      </c>
      <c r="G142" s="44">
        <v>4</v>
      </c>
      <c r="H142" s="44">
        <v>1</v>
      </c>
      <c r="I142" s="39" t="s">
        <v>27</v>
      </c>
    </row>
    <row r="143" spans="3:9" ht="18" customHeight="1">
      <c r="C143" s="128" t="s">
        <v>40</v>
      </c>
      <c r="D143" s="120" t="s">
        <v>138</v>
      </c>
      <c r="E143" s="121"/>
      <c r="F143" s="28" t="s">
        <v>23</v>
      </c>
      <c r="G143" s="40">
        <v>1</v>
      </c>
      <c r="H143" s="40">
        <v>3</v>
      </c>
      <c r="I143" s="29" t="s">
        <v>11</v>
      </c>
    </row>
    <row r="144" spans="3:9" ht="21">
      <c r="C144" s="128"/>
      <c r="D144" s="120"/>
      <c r="E144" s="121"/>
      <c r="F144" s="30" t="s">
        <v>15</v>
      </c>
      <c r="G144" s="41">
        <v>3</v>
      </c>
      <c r="H144" s="41">
        <v>3</v>
      </c>
      <c r="I144" s="31" t="s">
        <v>21</v>
      </c>
    </row>
    <row r="145" spans="3:9" ht="21">
      <c r="C145" s="128"/>
      <c r="D145" s="120"/>
      <c r="E145" s="121"/>
      <c r="F145" s="30" t="s">
        <v>25</v>
      </c>
      <c r="G145" s="41">
        <v>2</v>
      </c>
      <c r="H145" s="41">
        <v>0</v>
      </c>
      <c r="I145" s="31" t="s">
        <v>123</v>
      </c>
    </row>
    <row r="146" spans="3:9" ht="21">
      <c r="C146" s="128"/>
      <c r="D146" s="120"/>
      <c r="E146" s="121"/>
      <c r="F146" s="30" t="s">
        <v>19</v>
      </c>
      <c r="G146" s="41">
        <v>2</v>
      </c>
      <c r="H146" s="41">
        <v>1</v>
      </c>
      <c r="I146" s="31" t="s">
        <v>20</v>
      </c>
    </row>
    <row r="147" spans="3:9" ht="21">
      <c r="C147" s="128"/>
      <c r="D147" s="120"/>
      <c r="E147" s="121"/>
      <c r="F147" s="30" t="s">
        <v>26</v>
      </c>
      <c r="G147" s="41">
        <v>1</v>
      </c>
      <c r="H147" s="41">
        <v>1</v>
      </c>
      <c r="I147" s="31" t="s">
        <v>122</v>
      </c>
    </row>
    <row r="148" spans="3:9" ht="21">
      <c r="C148" s="128"/>
      <c r="D148" s="120"/>
      <c r="E148" s="121"/>
      <c r="F148" s="30" t="s">
        <v>14</v>
      </c>
      <c r="G148" s="41">
        <v>2</v>
      </c>
      <c r="H148" s="41">
        <v>0</v>
      </c>
      <c r="I148" s="31" t="s">
        <v>12</v>
      </c>
    </row>
    <row r="149" spans="3:9" ht="21">
      <c r="C149" s="128"/>
      <c r="D149" s="120"/>
      <c r="E149" s="121"/>
      <c r="F149" s="30" t="s">
        <v>121</v>
      </c>
      <c r="G149" s="41">
        <v>4</v>
      </c>
      <c r="H149" s="41">
        <v>1</v>
      </c>
      <c r="I149" s="31" t="s">
        <v>13</v>
      </c>
    </row>
    <row r="150" spans="3:9" ht="21">
      <c r="C150" s="128"/>
      <c r="D150" s="120"/>
      <c r="E150" s="121"/>
      <c r="F150" s="30" t="s">
        <v>24</v>
      </c>
      <c r="G150" s="41">
        <v>0</v>
      </c>
      <c r="H150" s="41">
        <v>1</v>
      </c>
      <c r="I150" s="31" t="s">
        <v>27</v>
      </c>
    </row>
    <row r="151" spans="3:9" ht="21">
      <c r="C151" s="128"/>
      <c r="D151" s="120"/>
      <c r="E151" s="121"/>
      <c r="F151" s="30" t="s">
        <v>18</v>
      </c>
      <c r="G151" s="41">
        <v>1</v>
      </c>
      <c r="H151" s="41">
        <v>0</v>
      </c>
      <c r="I151" s="31" t="s">
        <v>22</v>
      </c>
    </row>
    <row r="152" spans="3:9" ht="21">
      <c r="C152" s="129"/>
      <c r="D152" s="120"/>
      <c r="E152" s="121"/>
      <c r="F152" s="32" t="s">
        <v>16</v>
      </c>
      <c r="G152" s="42">
        <v>1</v>
      </c>
      <c r="H152" s="42">
        <v>3</v>
      </c>
      <c r="I152" s="33" t="s">
        <v>17</v>
      </c>
    </row>
    <row r="153" spans="3:9" ht="18" customHeight="1">
      <c r="C153" s="130" t="s">
        <v>41</v>
      </c>
      <c r="D153" s="122" t="s">
        <v>139</v>
      </c>
      <c r="E153" s="123"/>
      <c r="F153" s="34" t="s">
        <v>22</v>
      </c>
      <c r="G153" s="43">
        <v>3</v>
      </c>
      <c r="H153" s="43">
        <v>1</v>
      </c>
      <c r="I153" s="35" t="s">
        <v>24</v>
      </c>
    </row>
    <row r="154" spans="3:9" ht="21">
      <c r="C154" s="131"/>
      <c r="D154" s="124"/>
      <c r="E154" s="125"/>
      <c r="F154" s="36" t="s">
        <v>17</v>
      </c>
      <c r="G154" s="41">
        <v>2</v>
      </c>
      <c r="H154" s="41">
        <v>3</v>
      </c>
      <c r="I154" s="37" t="s">
        <v>18</v>
      </c>
    </row>
    <row r="155" spans="3:9" ht="21">
      <c r="C155" s="131"/>
      <c r="D155" s="124"/>
      <c r="E155" s="125"/>
      <c r="F155" s="36" t="s">
        <v>11</v>
      </c>
      <c r="G155" s="41">
        <v>1</v>
      </c>
      <c r="H155" s="41">
        <v>0</v>
      </c>
      <c r="I155" s="37" t="s">
        <v>16</v>
      </c>
    </row>
    <row r="156" spans="3:9" ht="21">
      <c r="C156" s="131"/>
      <c r="D156" s="124"/>
      <c r="E156" s="125"/>
      <c r="F156" s="36" t="s">
        <v>21</v>
      </c>
      <c r="G156" s="41">
        <v>0</v>
      </c>
      <c r="H156" s="41">
        <v>0</v>
      </c>
      <c r="I156" s="37" t="s">
        <v>23</v>
      </c>
    </row>
    <row r="157" spans="3:9" ht="21">
      <c r="C157" s="131"/>
      <c r="D157" s="124"/>
      <c r="E157" s="125"/>
      <c r="F157" s="36" t="s">
        <v>123</v>
      </c>
      <c r="G157" s="41">
        <v>1</v>
      </c>
      <c r="H157" s="41">
        <v>2</v>
      </c>
      <c r="I157" s="37" t="s">
        <v>15</v>
      </c>
    </row>
    <row r="158" spans="3:9" ht="21">
      <c r="C158" s="131"/>
      <c r="D158" s="124"/>
      <c r="E158" s="125"/>
      <c r="F158" s="36" t="s">
        <v>20</v>
      </c>
      <c r="G158" s="41">
        <v>1</v>
      </c>
      <c r="H158" s="41">
        <v>5</v>
      </c>
      <c r="I158" s="37" t="s">
        <v>25</v>
      </c>
    </row>
    <row r="159" spans="3:9" ht="21">
      <c r="C159" s="131"/>
      <c r="D159" s="124"/>
      <c r="E159" s="125"/>
      <c r="F159" s="36" t="s">
        <v>122</v>
      </c>
      <c r="G159" s="41">
        <v>1</v>
      </c>
      <c r="H159" s="41">
        <v>2</v>
      </c>
      <c r="I159" s="37" t="s">
        <v>19</v>
      </c>
    </row>
    <row r="160" spans="3:9" ht="21">
      <c r="C160" s="131"/>
      <c r="D160" s="124"/>
      <c r="E160" s="125"/>
      <c r="F160" s="36" t="s">
        <v>12</v>
      </c>
      <c r="G160" s="41">
        <v>1</v>
      </c>
      <c r="H160" s="41">
        <v>1</v>
      </c>
      <c r="I160" s="37" t="s">
        <v>26</v>
      </c>
    </row>
    <row r="161" spans="3:9" ht="21">
      <c r="C161" s="131"/>
      <c r="D161" s="124"/>
      <c r="E161" s="125"/>
      <c r="F161" s="36" t="s">
        <v>13</v>
      </c>
      <c r="G161" s="41">
        <v>0</v>
      </c>
      <c r="H161" s="41">
        <v>3</v>
      </c>
      <c r="I161" s="37" t="s">
        <v>14</v>
      </c>
    </row>
    <row r="162" spans="3:9" ht="21">
      <c r="C162" s="132"/>
      <c r="D162" s="126"/>
      <c r="E162" s="127"/>
      <c r="F162" s="38" t="s">
        <v>27</v>
      </c>
      <c r="G162" s="44">
        <v>0</v>
      </c>
      <c r="H162" s="44">
        <v>0</v>
      </c>
      <c r="I162" s="39" t="s">
        <v>121</v>
      </c>
    </row>
    <row r="163" spans="3:9" ht="18" customHeight="1">
      <c r="C163" s="128" t="s">
        <v>42</v>
      </c>
      <c r="D163" s="120" t="s">
        <v>140</v>
      </c>
      <c r="E163" s="121"/>
      <c r="F163" s="28" t="s">
        <v>22</v>
      </c>
      <c r="G163" s="40">
        <v>2</v>
      </c>
      <c r="H163" s="40">
        <v>0</v>
      </c>
      <c r="I163" s="29" t="s">
        <v>17</v>
      </c>
    </row>
    <row r="164" spans="3:9" ht="21">
      <c r="C164" s="128"/>
      <c r="D164" s="120"/>
      <c r="E164" s="121"/>
      <c r="F164" s="30" t="s">
        <v>18</v>
      </c>
      <c r="G164" s="41">
        <v>2</v>
      </c>
      <c r="H164" s="41">
        <v>3</v>
      </c>
      <c r="I164" s="31" t="s">
        <v>11</v>
      </c>
    </row>
    <row r="165" spans="3:9" ht="21">
      <c r="C165" s="128"/>
      <c r="D165" s="120"/>
      <c r="E165" s="121"/>
      <c r="F165" s="30" t="s">
        <v>16</v>
      </c>
      <c r="G165" s="41">
        <v>1</v>
      </c>
      <c r="H165" s="41">
        <v>0</v>
      </c>
      <c r="I165" s="31" t="s">
        <v>21</v>
      </c>
    </row>
    <row r="166" spans="3:9" ht="21">
      <c r="C166" s="128"/>
      <c r="D166" s="120"/>
      <c r="E166" s="121"/>
      <c r="F166" s="30" t="s">
        <v>23</v>
      </c>
      <c r="G166" s="41">
        <v>2</v>
      </c>
      <c r="H166" s="41">
        <v>1</v>
      </c>
      <c r="I166" s="31" t="s">
        <v>123</v>
      </c>
    </row>
    <row r="167" spans="3:9" ht="21">
      <c r="C167" s="128"/>
      <c r="D167" s="120"/>
      <c r="E167" s="121"/>
      <c r="F167" s="30" t="s">
        <v>15</v>
      </c>
      <c r="G167" s="41">
        <v>2</v>
      </c>
      <c r="H167" s="41">
        <v>1</v>
      </c>
      <c r="I167" s="31" t="s">
        <v>20</v>
      </c>
    </row>
    <row r="168" spans="3:9" ht="21">
      <c r="C168" s="128"/>
      <c r="D168" s="120"/>
      <c r="E168" s="121"/>
      <c r="F168" s="30" t="s">
        <v>25</v>
      </c>
      <c r="G168" s="41">
        <v>2</v>
      </c>
      <c r="H168" s="41">
        <v>1</v>
      </c>
      <c r="I168" s="31" t="s">
        <v>122</v>
      </c>
    </row>
    <row r="169" spans="3:9" ht="21">
      <c r="C169" s="128"/>
      <c r="D169" s="120"/>
      <c r="E169" s="121"/>
      <c r="F169" s="30" t="s">
        <v>19</v>
      </c>
      <c r="G169" s="41">
        <v>1</v>
      </c>
      <c r="H169" s="41">
        <v>2</v>
      </c>
      <c r="I169" s="31" t="s">
        <v>12</v>
      </c>
    </row>
    <row r="170" spans="3:9" ht="21">
      <c r="C170" s="128"/>
      <c r="D170" s="120"/>
      <c r="E170" s="121"/>
      <c r="F170" s="30" t="s">
        <v>26</v>
      </c>
      <c r="G170" s="41">
        <v>1</v>
      </c>
      <c r="H170" s="41">
        <v>2</v>
      </c>
      <c r="I170" s="31" t="s">
        <v>13</v>
      </c>
    </row>
    <row r="171" spans="3:9" ht="21">
      <c r="C171" s="128"/>
      <c r="D171" s="120"/>
      <c r="E171" s="121"/>
      <c r="F171" s="30" t="s">
        <v>14</v>
      </c>
      <c r="G171" s="41">
        <v>0</v>
      </c>
      <c r="H171" s="41">
        <v>0</v>
      </c>
      <c r="I171" s="31" t="s">
        <v>27</v>
      </c>
    </row>
    <row r="172" spans="3:9" ht="21">
      <c r="C172" s="129"/>
      <c r="D172" s="120"/>
      <c r="E172" s="121"/>
      <c r="F172" s="32" t="s">
        <v>24</v>
      </c>
      <c r="G172" s="42">
        <v>3</v>
      </c>
      <c r="H172" s="42">
        <v>0</v>
      </c>
      <c r="I172" s="33" t="s">
        <v>121</v>
      </c>
    </row>
    <row r="173" spans="3:9" ht="18" customHeight="1">
      <c r="C173" s="130" t="s">
        <v>43</v>
      </c>
      <c r="D173" s="122" t="s">
        <v>141</v>
      </c>
      <c r="E173" s="123"/>
      <c r="F173" s="34" t="s">
        <v>24</v>
      </c>
      <c r="G173" s="43">
        <v>4</v>
      </c>
      <c r="H173" s="43">
        <v>1</v>
      </c>
      <c r="I173" s="35" t="s">
        <v>17</v>
      </c>
    </row>
    <row r="174" spans="3:9" ht="21">
      <c r="C174" s="131"/>
      <c r="D174" s="124"/>
      <c r="E174" s="125"/>
      <c r="F174" s="36" t="s">
        <v>11</v>
      </c>
      <c r="G174" s="41">
        <v>4</v>
      </c>
      <c r="H174" s="41">
        <v>2</v>
      </c>
      <c r="I174" s="37" t="s">
        <v>22</v>
      </c>
    </row>
    <row r="175" spans="3:9" ht="21">
      <c r="C175" s="131"/>
      <c r="D175" s="124"/>
      <c r="E175" s="125"/>
      <c r="F175" s="36" t="s">
        <v>21</v>
      </c>
      <c r="G175" s="41">
        <v>0</v>
      </c>
      <c r="H175" s="41">
        <v>0</v>
      </c>
      <c r="I175" s="37" t="s">
        <v>18</v>
      </c>
    </row>
    <row r="176" spans="3:9" ht="21">
      <c r="C176" s="131"/>
      <c r="D176" s="124"/>
      <c r="E176" s="125"/>
      <c r="F176" s="36" t="s">
        <v>123</v>
      </c>
      <c r="G176" s="41">
        <v>2</v>
      </c>
      <c r="H176" s="41">
        <v>3</v>
      </c>
      <c r="I176" s="37" t="s">
        <v>16</v>
      </c>
    </row>
    <row r="177" spans="2:9" ht="21">
      <c r="C177" s="131"/>
      <c r="D177" s="124"/>
      <c r="E177" s="125"/>
      <c r="F177" s="36" t="s">
        <v>20</v>
      </c>
      <c r="G177" s="41">
        <v>4</v>
      </c>
      <c r="H177" s="41">
        <v>0</v>
      </c>
      <c r="I177" s="37" t="s">
        <v>23</v>
      </c>
    </row>
    <row r="178" spans="2:9" ht="21">
      <c r="C178" s="131"/>
      <c r="D178" s="124"/>
      <c r="E178" s="125"/>
      <c r="F178" s="36" t="s">
        <v>122</v>
      </c>
      <c r="G178" s="41">
        <v>0</v>
      </c>
      <c r="H178" s="41">
        <v>1</v>
      </c>
      <c r="I178" s="37" t="s">
        <v>15</v>
      </c>
    </row>
    <row r="179" spans="2:9" ht="21">
      <c r="C179" s="131"/>
      <c r="D179" s="124"/>
      <c r="E179" s="125"/>
      <c r="F179" s="36" t="s">
        <v>12</v>
      </c>
      <c r="G179" s="41">
        <v>0</v>
      </c>
      <c r="H179" s="41">
        <v>4</v>
      </c>
      <c r="I179" s="37" t="s">
        <v>25</v>
      </c>
    </row>
    <row r="180" spans="2:9" ht="21">
      <c r="C180" s="131"/>
      <c r="D180" s="124"/>
      <c r="E180" s="125"/>
      <c r="F180" s="36" t="s">
        <v>13</v>
      </c>
      <c r="G180" s="41">
        <v>1</v>
      </c>
      <c r="H180" s="41">
        <v>1</v>
      </c>
      <c r="I180" s="37" t="s">
        <v>19</v>
      </c>
    </row>
    <row r="181" spans="2:9" ht="21">
      <c r="C181" s="131"/>
      <c r="D181" s="124"/>
      <c r="E181" s="125"/>
      <c r="F181" s="36" t="s">
        <v>27</v>
      </c>
      <c r="G181" s="41">
        <v>1</v>
      </c>
      <c r="H181" s="41">
        <v>1</v>
      </c>
      <c r="I181" s="37" t="s">
        <v>26</v>
      </c>
    </row>
    <row r="182" spans="2:9" ht="21">
      <c r="C182" s="132"/>
      <c r="D182" s="126"/>
      <c r="E182" s="127"/>
      <c r="F182" s="38" t="s">
        <v>121</v>
      </c>
      <c r="G182" s="44">
        <v>4</v>
      </c>
      <c r="H182" s="44">
        <v>1</v>
      </c>
      <c r="I182" s="39" t="s">
        <v>14</v>
      </c>
    </row>
    <row r="183" spans="2:9" ht="18" customHeight="1">
      <c r="C183" s="128" t="s">
        <v>44</v>
      </c>
      <c r="D183" s="120" t="s">
        <v>142</v>
      </c>
      <c r="E183" s="121"/>
      <c r="F183" s="28" t="s">
        <v>15</v>
      </c>
      <c r="G183" s="40">
        <v>2</v>
      </c>
      <c r="H183" s="40">
        <v>0</v>
      </c>
      <c r="I183" s="29" t="s">
        <v>12</v>
      </c>
    </row>
    <row r="184" spans="2:9" ht="21">
      <c r="C184" s="128"/>
      <c r="D184" s="120"/>
      <c r="E184" s="121"/>
      <c r="F184" s="30" t="s">
        <v>25</v>
      </c>
      <c r="G184" s="41">
        <v>4</v>
      </c>
      <c r="H184" s="41">
        <v>1</v>
      </c>
      <c r="I184" s="31" t="s">
        <v>13</v>
      </c>
    </row>
    <row r="185" spans="2:9" ht="21">
      <c r="C185" s="128"/>
      <c r="D185" s="120"/>
      <c r="E185" s="121"/>
      <c r="F185" s="30" t="s">
        <v>19</v>
      </c>
      <c r="G185" s="41">
        <v>2</v>
      </c>
      <c r="H185" s="41">
        <v>1</v>
      </c>
      <c r="I185" s="31" t="s">
        <v>27</v>
      </c>
    </row>
    <row r="186" spans="2:9" ht="21">
      <c r="C186" s="128"/>
      <c r="D186" s="120"/>
      <c r="E186" s="121"/>
      <c r="F186" s="30" t="s">
        <v>26</v>
      </c>
      <c r="G186" s="41">
        <v>2</v>
      </c>
      <c r="H186" s="41">
        <v>0</v>
      </c>
      <c r="I186" s="31" t="s">
        <v>121</v>
      </c>
    </row>
    <row r="187" spans="2:9" ht="21">
      <c r="C187" s="128"/>
      <c r="D187" s="120"/>
      <c r="E187" s="121"/>
      <c r="F187" s="30" t="s">
        <v>17</v>
      </c>
      <c r="G187" s="41">
        <v>1</v>
      </c>
      <c r="H187" s="41">
        <v>1</v>
      </c>
      <c r="I187" s="31" t="s">
        <v>11</v>
      </c>
    </row>
    <row r="188" spans="2:9" ht="21">
      <c r="C188" s="128"/>
      <c r="D188" s="120"/>
      <c r="E188" s="121"/>
      <c r="F188" s="30" t="s">
        <v>22</v>
      </c>
      <c r="G188" s="41">
        <v>4</v>
      </c>
      <c r="H188" s="41">
        <v>2</v>
      </c>
      <c r="I188" s="31" t="s">
        <v>21</v>
      </c>
    </row>
    <row r="189" spans="2:9" ht="21">
      <c r="C189" s="128"/>
      <c r="D189" s="120"/>
      <c r="E189" s="121"/>
      <c r="F189" s="30" t="s">
        <v>18</v>
      </c>
      <c r="G189" s="41">
        <v>0</v>
      </c>
      <c r="H189" s="41">
        <v>4</v>
      </c>
      <c r="I189" s="31" t="s">
        <v>123</v>
      </c>
    </row>
    <row r="190" spans="2:9" ht="21">
      <c r="B190" s="20"/>
      <c r="C190" s="128"/>
      <c r="D190" s="120"/>
      <c r="E190" s="121"/>
      <c r="F190" s="30" t="s">
        <v>16</v>
      </c>
      <c r="G190" s="41">
        <v>1</v>
      </c>
      <c r="H190" s="41">
        <v>2</v>
      </c>
      <c r="I190" s="31" t="s">
        <v>20</v>
      </c>
    </row>
    <row r="191" spans="2:9" ht="21">
      <c r="C191" s="128"/>
      <c r="D191" s="120"/>
      <c r="E191" s="121"/>
      <c r="F191" s="30" t="s">
        <v>23</v>
      </c>
      <c r="G191" s="41">
        <v>1</v>
      </c>
      <c r="H191" s="41">
        <v>0</v>
      </c>
      <c r="I191" s="31" t="s">
        <v>122</v>
      </c>
    </row>
    <row r="192" spans="2:9" ht="21.75" thickBot="1">
      <c r="C192" s="129"/>
      <c r="D192" s="120"/>
      <c r="E192" s="121"/>
      <c r="F192" s="32" t="s">
        <v>14</v>
      </c>
      <c r="G192" s="42">
        <v>3</v>
      </c>
      <c r="H192" s="42">
        <v>0</v>
      </c>
      <c r="I192" s="33" t="s">
        <v>24</v>
      </c>
    </row>
    <row r="193" spans="3:9" ht="15" customHeight="1">
      <c r="C193" s="45"/>
      <c r="D193" s="46"/>
      <c r="E193" s="46"/>
      <c r="F193" s="136" t="s">
        <v>64</v>
      </c>
      <c r="G193" s="46"/>
      <c r="H193" s="46"/>
      <c r="I193" s="47"/>
    </row>
    <row r="194" spans="3:9" ht="15.75" customHeight="1" thickBot="1">
      <c r="C194" s="48"/>
      <c r="D194" s="49"/>
      <c r="E194" s="49"/>
      <c r="F194" s="137"/>
      <c r="G194" s="49"/>
      <c r="H194" s="49"/>
      <c r="I194" s="50"/>
    </row>
    <row r="195" spans="3:9" ht="18" customHeight="1">
      <c r="C195" s="130" t="s">
        <v>45</v>
      </c>
      <c r="D195" s="122" t="s">
        <v>143</v>
      </c>
      <c r="E195" s="123"/>
      <c r="F195" s="34" t="s">
        <v>16</v>
      </c>
      <c r="G195" s="43">
        <v>4</v>
      </c>
      <c r="H195" s="43">
        <v>1</v>
      </c>
      <c r="I195" s="35" t="s">
        <v>122</v>
      </c>
    </row>
    <row r="196" spans="3:9" ht="21">
      <c r="C196" s="131"/>
      <c r="D196" s="124"/>
      <c r="E196" s="125"/>
      <c r="F196" s="36" t="s">
        <v>11</v>
      </c>
      <c r="G196" s="41">
        <v>1</v>
      </c>
      <c r="H196" s="41">
        <v>0</v>
      </c>
      <c r="I196" s="37" t="s">
        <v>24</v>
      </c>
    </row>
    <row r="197" spans="3:9" ht="21">
      <c r="C197" s="131"/>
      <c r="D197" s="124"/>
      <c r="E197" s="125"/>
      <c r="F197" s="36" t="s">
        <v>18</v>
      </c>
      <c r="G197" s="41">
        <v>1</v>
      </c>
      <c r="H197" s="41">
        <v>3</v>
      </c>
      <c r="I197" s="37" t="s">
        <v>20</v>
      </c>
    </row>
    <row r="198" spans="3:9" ht="21">
      <c r="C198" s="131"/>
      <c r="D198" s="124"/>
      <c r="E198" s="125"/>
      <c r="F198" s="36" t="s">
        <v>26</v>
      </c>
      <c r="G198" s="41">
        <v>1</v>
      </c>
      <c r="H198" s="41">
        <v>0</v>
      </c>
      <c r="I198" s="37" t="s">
        <v>14</v>
      </c>
    </row>
    <row r="199" spans="3:9" ht="21">
      <c r="C199" s="131"/>
      <c r="D199" s="124"/>
      <c r="E199" s="125"/>
      <c r="F199" s="36" t="s">
        <v>22</v>
      </c>
      <c r="G199" s="41">
        <v>2</v>
      </c>
      <c r="H199" s="41">
        <v>1</v>
      </c>
      <c r="I199" s="37" t="s">
        <v>123</v>
      </c>
    </row>
    <row r="200" spans="3:9" ht="21">
      <c r="C200" s="131"/>
      <c r="D200" s="124"/>
      <c r="E200" s="125"/>
      <c r="F200" s="36" t="s">
        <v>23</v>
      </c>
      <c r="G200" s="41">
        <v>1</v>
      </c>
      <c r="H200" s="41">
        <v>0</v>
      </c>
      <c r="I200" s="37" t="s">
        <v>12</v>
      </c>
    </row>
    <row r="201" spans="3:9" ht="21">
      <c r="C201" s="131"/>
      <c r="D201" s="124"/>
      <c r="E201" s="125"/>
      <c r="F201" s="36" t="s">
        <v>17</v>
      </c>
      <c r="G201" s="41">
        <v>3</v>
      </c>
      <c r="H201" s="41">
        <v>2</v>
      </c>
      <c r="I201" s="37" t="s">
        <v>21</v>
      </c>
    </row>
    <row r="202" spans="3:9" ht="21">
      <c r="C202" s="131"/>
      <c r="D202" s="124"/>
      <c r="E202" s="125"/>
      <c r="F202" s="36" t="s">
        <v>25</v>
      </c>
      <c r="G202" s="41">
        <v>3</v>
      </c>
      <c r="H202" s="41">
        <v>0</v>
      </c>
      <c r="I202" s="37" t="s">
        <v>27</v>
      </c>
    </row>
    <row r="203" spans="3:9" ht="21">
      <c r="C203" s="131"/>
      <c r="D203" s="124"/>
      <c r="E203" s="125"/>
      <c r="F203" s="36" t="s">
        <v>15</v>
      </c>
      <c r="G203" s="41">
        <v>4</v>
      </c>
      <c r="H203" s="41">
        <v>3</v>
      </c>
      <c r="I203" s="37" t="s">
        <v>13</v>
      </c>
    </row>
    <row r="204" spans="3:9" ht="21">
      <c r="C204" s="132"/>
      <c r="D204" s="126"/>
      <c r="E204" s="127"/>
      <c r="F204" s="38" t="s">
        <v>19</v>
      </c>
      <c r="G204" s="44">
        <v>3</v>
      </c>
      <c r="H204" s="44">
        <v>0</v>
      </c>
      <c r="I204" s="39" t="s">
        <v>121</v>
      </c>
    </row>
    <row r="205" spans="3:9" ht="18" customHeight="1">
      <c r="C205" s="128" t="s">
        <v>63</v>
      </c>
      <c r="D205" s="120" t="s">
        <v>144</v>
      </c>
      <c r="E205" s="121"/>
      <c r="F205" s="28" t="s">
        <v>12</v>
      </c>
      <c r="G205" s="40">
        <v>3</v>
      </c>
      <c r="H205" s="40">
        <v>3</v>
      </c>
      <c r="I205" s="29" t="s">
        <v>16</v>
      </c>
    </row>
    <row r="206" spans="3:9" ht="21">
      <c r="C206" s="128"/>
      <c r="D206" s="120"/>
      <c r="E206" s="121"/>
      <c r="F206" s="30" t="s">
        <v>122</v>
      </c>
      <c r="G206" s="41">
        <v>2</v>
      </c>
      <c r="H206" s="41">
        <v>0</v>
      </c>
      <c r="I206" s="31" t="s">
        <v>18</v>
      </c>
    </row>
    <row r="207" spans="3:9" ht="21">
      <c r="C207" s="128"/>
      <c r="D207" s="120"/>
      <c r="E207" s="121"/>
      <c r="F207" s="30" t="s">
        <v>20</v>
      </c>
      <c r="G207" s="41">
        <v>0</v>
      </c>
      <c r="H207" s="41">
        <v>1</v>
      </c>
      <c r="I207" s="31" t="s">
        <v>22</v>
      </c>
    </row>
    <row r="208" spans="3:9" ht="21">
      <c r="C208" s="128"/>
      <c r="D208" s="120"/>
      <c r="E208" s="121"/>
      <c r="F208" s="30" t="s">
        <v>123</v>
      </c>
      <c r="G208" s="41">
        <v>2</v>
      </c>
      <c r="H208" s="41">
        <v>0</v>
      </c>
      <c r="I208" s="31" t="s">
        <v>17</v>
      </c>
    </row>
    <row r="209" spans="3:9" ht="21">
      <c r="C209" s="128"/>
      <c r="D209" s="120"/>
      <c r="E209" s="121"/>
      <c r="F209" s="30" t="s">
        <v>21</v>
      </c>
      <c r="G209" s="41">
        <v>1</v>
      </c>
      <c r="H209" s="41">
        <v>0</v>
      </c>
      <c r="I209" s="31" t="s">
        <v>11</v>
      </c>
    </row>
    <row r="210" spans="3:9" ht="21">
      <c r="C210" s="128"/>
      <c r="D210" s="120"/>
      <c r="E210" s="121"/>
      <c r="F210" s="30" t="s">
        <v>24</v>
      </c>
      <c r="G210" s="41">
        <v>0</v>
      </c>
      <c r="H210" s="41">
        <v>4</v>
      </c>
      <c r="I210" s="31" t="s">
        <v>26</v>
      </c>
    </row>
    <row r="211" spans="3:9" ht="21">
      <c r="C211" s="128"/>
      <c r="D211" s="120"/>
      <c r="E211" s="121"/>
      <c r="F211" s="30" t="s">
        <v>14</v>
      </c>
      <c r="G211" s="41">
        <v>0</v>
      </c>
      <c r="H211" s="41">
        <v>2</v>
      </c>
      <c r="I211" s="31" t="s">
        <v>19</v>
      </c>
    </row>
    <row r="212" spans="3:9" ht="21">
      <c r="C212" s="128"/>
      <c r="D212" s="120"/>
      <c r="E212" s="121"/>
      <c r="F212" s="30" t="s">
        <v>121</v>
      </c>
      <c r="G212" s="41">
        <v>0</v>
      </c>
      <c r="H212" s="41">
        <v>3</v>
      </c>
      <c r="I212" s="31" t="s">
        <v>25</v>
      </c>
    </row>
    <row r="213" spans="3:9" ht="21">
      <c r="C213" s="128"/>
      <c r="D213" s="120"/>
      <c r="E213" s="121"/>
      <c r="F213" s="30" t="s">
        <v>27</v>
      </c>
      <c r="G213" s="41">
        <v>1</v>
      </c>
      <c r="H213" s="41">
        <v>1</v>
      </c>
      <c r="I213" s="31" t="s">
        <v>15</v>
      </c>
    </row>
    <row r="214" spans="3:9" ht="21">
      <c r="C214" s="129"/>
      <c r="D214" s="120"/>
      <c r="E214" s="121"/>
      <c r="F214" s="32" t="s">
        <v>13</v>
      </c>
      <c r="G214" s="42">
        <v>1</v>
      </c>
      <c r="H214" s="42">
        <v>2</v>
      </c>
      <c r="I214" s="33" t="s">
        <v>23</v>
      </c>
    </row>
    <row r="215" spans="3:9" ht="18" customHeight="1">
      <c r="C215" s="130" t="s">
        <v>62</v>
      </c>
      <c r="D215" s="122" t="s">
        <v>145</v>
      </c>
      <c r="E215" s="123"/>
      <c r="F215" s="34" t="s">
        <v>19</v>
      </c>
      <c r="G215" s="43">
        <v>3</v>
      </c>
      <c r="H215" s="43">
        <v>0</v>
      </c>
      <c r="I215" s="35" t="s">
        <v>26</v>
      </c>
    </row>
    <row r="216" spans="3:9" ht="21">
      <c r="C216" s="131"/>
      <c r="D216" s="124"/>
      <c r="E216" s="125"/>
      <c r="F216" s="36" t="s">
        <v>25</v>
      </c>
      <c r="G216" s="41">
        <v>3</v>
      </c>
      <c r="H216" s="41">
        <v>0</v>
      </c>
      <c r="I216" s="37" t="s">
        <v>14</v>
      </c>
    </row>
    <row r="217" spans="3:9" ht="21">
      <c r="C217" s="131"/>
      <c r="D217" s="124"/>
      <c r="E217" s="125"/>
      <c r="F217" s="36" t="s">
        <v>15</v>
      </c>
      <c r="G217" s="41">
        <v>2</v>
      </c>
      <c r="H217" s="41">
        <v>0</v>
      </c>
      <c r="I217" s="37" t="s">
        <v>121</v>
      </c>
    </row>
    <row r="218" spans="3:9" ht="21">
      <c r="C218" s="131"/>
      <c r="D218" s="124"/>
      <c r="E218" s="125"/>
      <c r="F218" s="36" t="s">
        <v>23</v>
      </c>
      <c r="G218" s="41">
        <v>1</v>
      </c>
      <c r="H218" s="41">
        <v>1</v>
      </c>
      <c r="I218" s="37" t="s">
        <v>27</v>
      </c>
    </row>
    <row r="219" spans="3:9" ht="21">
      <c r="C219" s="131"/>
      <c r="D219" s="124"/>
      <c r="E219" s="125"/>
      <c r="F219" s="36" t="s">
        <v>16</v>
      </c>
      <c r="G219" s="41">
        <v>0</v>
      </c>
      <c r="H219" s="41">
        <v>0</v>
      </c>
      <c r="I219" s="37" t="s">
        <v>13</v>
      </c>
    </row>
    <row r="220" spans="3:9" ht="21">
      <c r="C220" s="131"/>
      <c r="D220" s="124"/>
      <c r="E220" s="125"/>
      <c r="F220" s="36" t="s">
        <v>18</v>
      </c>
      <c r="G220" s="41">
        <v>4</v>
      </c>
      <c r="H220" s="41">
        <v>1</v>
      </c>
      <c r="I220" s="37" t="s">
        <v>12</v>
      </c>
    </row>
    <row r="221" spans="3:9" ht="21">
      <c r="C221" s="131"/>
      <c r="D221" s="124"/>
      <c r="E221" s="125"/>
      <c r="F221" s="36" t="s">
        <v>22</v>
      </c>
      <c r="G221" s="41">
        <v>0</v>
      </c>
      <c r="H221" s="41">
        <v>1</v>
      </c>
      <c r="I221" s="37" t="s">
        <v>122</v>
      </c>
    </row>
    <row r="222" spans="3:9" ht="21">
      <c r="C222" s="131"/>
      <c r="D222" s="124"/>
      <c r="E222" s="125"/>
      <c r="F222" s="36" t="s">
        <v>17</v>
      </c>
      <c r="G222" s="41">
        <v>3</v>
      </c>
      <c r="H222" s="41">
        <v>2</v>
      </c>
      <c r="I222" s="37" t="s">
        <v>20</v>
      </c>
    </row>
    <row r="223" spans="3:9" ht="21">
      <c r="C223" s="131"/>
      <c r="D223" s="124"/>
      <c r="E223" s="125"/>
      <c r="F223" s="36" t="s">
        <v>11</v>
      </c>
      <c r="G223" s="41">
        <v>4</v>
      </c>
      <c r="H223" s="41">
        <v>1</v>
      </c>
      <c r="I223" s="37" t="s">
        <v>123</v>
      </c>
    </row>
    <row r="224" spans="3:9" ht="21">
      <c r="C224" s="132"/>
      <c r="D224" s="126"/>
      <c r="E224" s="127"/>
      <c r="F224" s="38" t="s">
        <v>21</v>
      </c>
      <c r="G224" s="44">
        <v>1</v>
      </c>
      <c r="H224" s="44">
        <v>1</v>
      </c>
      <c r="I224" s="39" t="s">
        <v>24</v>
      </c>
    </row>
    <row r="225" spans="3:9" ht="18" customHeight="1">
      <c r="C225" s="128" t="s">
        <v>61</v>
      </c>
      <c r="D225" s="120" t="s">
        <v>146</v>
      </c>
      <c r="E225" s="121"/>
      <c r="F225" s="28" t="s">
        <v>20</v>
      </c>
      <c r="G225" s="40">
        <v>0</v>
      </c>
      <c r="H225" s="40">
        <v>1</v>
      </c>
      <c r="I225" s="29" t="s">
        <v>11</v>
      </c>
    </row>
    <row r="226" spans="3:9" ht="21">
      <c r="C226" s="128"/>
      <c r="D226" s="120"/>
      <c r="E226" s="121"/>
      <c r="F226" s="30" t="s">
        <v>123</v>
      </c>
      <c r="G226" s="41">
        <v>1</v>
      </c>
      <c r="H226" s="41">
        <v>0</v>
      </c>
      <c r="I226" s="31" t="s">
        <v>21</v>
      </c>
    </row>
    <row r="227" spans="3:9" ht="21">
      <c r="C227" s="128"/>
      <c r="D227" s="120"/>
      <c r="E227" s="121"/>
      <c r="F227" s="30" t="s">
        <v>24</v>
      </c>
      <c r="G227" s="41">
        <v>1</v>
      </c>
      <c r="H227" s="41">
        <v>0</v>
      </c>
      <c r="I227" s="31" t="s">
        <v>19</v>
      </c>
    </row>
    <row r="228" spans="3:9" ht="21">
      <c r="C228" s="128"/>
      <c r="D228" s="120"/>
      <c r="E228" s="121"/>
      <c r="F228" s="30" t="s">
        <v>26</v>
      </c>
      <c r="G228" s="41">
        <v>1</v>
      </c>
      <c r="H228" s="41">
        <v>1</v>
      </c>
      <c r="I228" s="31" t="s">
        <v>25</v>
      </c>
    </row>
    <row r="229" spans="3:9" ht="21">
      <c r="C229" s="128"/>
      <c r="D229" s="120"/>
      <c r="E229" s="121"/>
      <c r="F229" s="30" t="s">
        <v>14</v>
      </c>
      <c r="G229" s="41">
        <v>1</v>
      </c>
      <c r="H229" s="41">
        <v>2</v>
      </c>
      <c r="I229" s="31" t="s">
        <v>15</v>
      </c>
    </row>
    <row r="230" spans="3:9" ht="21">
      <c r="C230" s="128"/>
      <c r="D230" s="120"/>
      <c r="E230" s="121"/>
      <c r="F230" s="30" t="s">
        <v>121</v>
      </c>
      <c r="G230" s="41">
        <v>2</v>
      </c>
      <c r="H230" s="41">
        <v>1</v>
      </c>
      <c r="I230" s="31" t="s">
        <v>23</v>
      </c>
    </row>
    <row r="231" spans="3:9" ht="21">
      <c r="C231" s="128"/>
      <c r="D231" s="120"/>
      <c r="E231" s="121"/>
      <c r="F231" s="30" t="s">
        <v>27</v>
      </c>
      <c r="G231" s="41">
        <v>3</v>
      </c>
      <c r="H231" s="41">
        <v>2</v>
      </c>
      <c r="I231" s="31" t="s">
        <v>16</v>
      </c>
    </row>
    <row r="232" spans="3:9" ht="21">
      <c r="C232" s="128"/>
      <c r="D232" s="120"/>
      <c r="E232" s="121"/>
      <c r="F232" s="30" t="s">
        <v>13</v>
      </c>
      <c r="G232" s="41">
        <v>2</v>
      </c>
      <c r="H232" s="41">
        <v>2</v>
      </c>
      <c r="I232" s="31" t="s">
        <v>18</v>
      </c>
    </row>
    <row r="233" spans="3:9" ht="21">
      <c r="C233" s="128"/>
      <c r="D233" s="120"/>
      <c r="E233" s="121"/>
      <c r="F233" s="30" t="s">
        <v>12</v>
      </c>
      <c r="G233" s="41">
        <v>1</v>
      </c>
      <c r="H233" s="41">
        <v>0</v>
      </c>
      <c r="I233" s="31" t="s">
        <v>22</v>
      </c>
    </row>
    <row r="234" spans="3:9" ht="21">
      <c r="C234" s="129"/>
      <c r="D234" s="120"/>
      <c r="E234" s="121"/>
      <c r="F234" s="32" t="s">
        <v>122</v>
      </c>
      <c r="G234" s="42">
        <v>1</v>
      </c>
      <c r="H234" s="42">
        <v>0</v>
      </c>
      <c r="I234" s="33" t="s">
        <v>17</v>
      </c>
    </row>
    <row r="235" spans="3:9" ht="18" customHeight="1">
      <c r="C235" s="130" t="s">
        <v>60</v>
      </c>
      <c r="D235" s="122" t="s">
        <v>147</v>
      </c>
      <c r="E235" s="123"/>
      <c r="F235" s="34" t="s">
        <v>23</v>
      </c>
      <c r="G235" s="43">
        <v>0</v>
      </c>
      <c r="H235" s="43">
        <v>1</v>
      </c>
      <c r="I235" s="35" t="s">
        <v>14</v>
      </c>
    </row>
    <row r="236" spans="3:9" ht="21">
      <c r="C236" s="131"/>
      <c r="D236" s="124"/>
      <c r="E236" s="125"/>
      <c r="F236" s="36" t="s">
        <v>16</v>
      </c>
      <c r="G236" s="41">
        <v>1</v>
      </c>
      <c r="H236" s="41">
        <v>0</v>
      </c>
      <c r="I236" s="37" t="s">
        <v>121</v>
      </c>
    </row>
    <row r="237" spans="3:9" ht="21">
      <c r="C237" s="131"/>
      <c r="D237" s="124"/>
      <c r="E237" s="125"/>
      <c r="F237" s="36" t="s">
        <v>18</v>
      </c>
      <c r="G237" s="41">
        <v>0</v>
      </c>
      <c r="H237" s="41">
        <v>1</v>
      </c>
      <c r="I237" s="37" t="s">
        <v>27</v>
      </c>
    </row>
    <row r="238" spans="3:9" ht="21">
      <c r="C238" s="131"/>
      <c r="D238" s="124"/>
      <c r="E238" s="125"/>
      <c r="F238" s="36" t="s">
        <v>22</v>
      </c>
      <c r="G238" s="41">
        <v>1</v>
      </c>
      <c r="H238" s="41">
        <v>1</v>
      </c>
      <c r="I238" s="37" t="s">
        <v>13</v>
      </c>
    </row>
    <row r="239" spans="3:9" ht="21">
      <c r="C239" s="131"/>
      <c r="D239" s="124"/>
      <c r="E239" s="125"/>
      <c r="F239" s="36" t="s">
        <v>17</v>
      </c>
      <c r="G239" s="41">
        <v>1</v>
      </c>
      <c r="H239" s="41">
        <v>1</v>
      </c>
      <c r="I239" s="37" t="s">
        <v>12</v>
      </c>
    </row>
    <row r="240" spans="3:9" ht="21">
      <c r="C240" s="131"/>
      <c r="D240" s="124"/>
      <c r="E240" s="125"/>
      <c r="F240" s="36" t="s">
        <v>11</v>
      </c>
      <c r="G240" s="41">
        <v>2</v>
      </c>
      <c r="H240" s="41">
        <v>0</v>
      </c>
      <c r="I240" s="37" t="s">
        <v>122</v>
      </c>
    </row>
    <row r="241" spans="3:9" ht="21">
      <c r="C241" s="131"/>
      <c r="D241" s="124"/>
      <c r="E241" s="125"/>
      <c r="F241" s="36" t="s">
        <v>21</v>
      </c>
      <c r="G241" s="41">
        <v>4</v>
      </c>
      <c r="H241" s="41">
        <v>0</v>
      </c>
      <c r="I241" s="37" t="s">
        <v>20</v>
      </c>
    </row>
    <row r="242" spans="3:9" ht="21">
      <c r="C242" s="131"/>
      <c r="D242" s="124"/>
      <c r="E242" s="125"/>
      <c r="F242" s="36" t="s">
        <v>123</v>
      </c>
      <c r="G242" s="41">
        <v>1</v>
      </c>
      <c r="H242" s="41">
        <v>0</v>
      </c>
      <c r="I242" s="37" t="s">
        <v>24</v>
      </c>
    </row>
    <row r="243" spans="3:9" ht="21">
      <c r="C243" s="131"/>
      <c r="D243" s="124"/>
      <c r="E243" s="125"/>
      <c r="F243" s="36" t="s">
        <v>25</v>
      </c>
      <c r="G243" s="41">
        <v>2</v>
      </c>
      <c r="H243" s="41">
        <v>1</v>
      </c>
      <c r="I243" s="37" t="s">
        <v>19</v>
      </c>
    </row>
    <row r="244" spans="3:9" ht="21">
      <c r="C244" s="132"/>
      <c r="D244" s="126"/>
      <c r="E244" s="127"/>
      <c r="F244" s="38" t="s">
        <v>15</v>
      </c>
      <c r="G244" s="44">
        <v>0</v>
      </c>
      <c r="H244" s="44">
        <v>0</v>
      </c>
      <c r="I244" s="39" t="s">
        <v>26</v>
      </c>
    </row>
    <row r="245" spans="3:9" ht="18" customHeight="1">
      <c r="C245" s="128" t="s">
        <v>59</v>
      </c>
      <c r="D245" s="120" t="s">
        <v>148</v>
      </c>
      <c r="E245" s="121"/>
      <c r="F245" s="28" t="s">
        <v>24</v>
      </c>
      <c r="G245" s="40">
        <v>0</v>
      </c>
      <c r="H245" s="40">
        <v>3</v>
      </c>
      <c r="I245" s="29" t="s">
        <v>25</v>
      </c>
    </row>
    <row r="246" spans="3:9" ht="21">
      <c r="C246" s="128"/>
      <c r="D246" s="120"/>
      <c r="E246" s="121"/>
      <c r="F246" s="30" t="s">
        <v>19</v>
      </c>
      <c r="G246" s="41">
        <v>1</v>
      </c>
      <c r="H246" s="41">
        <v>2</v>
      </c>
      <c r="I246" s="31" t="s">
        <v>15</v>
      </c>
    </row>
    <row r="247" spans="3:9" ht="21">
      <c r="C247" s="128"/>
      <c r="D247" s="120"/>
      <c r="E247" s="121"/>
      <c r="F247" s="30" t="s">
        <v>26</v>
      </c>
      <c r="G247" s="41">
        <v>0</v>
      </c>
      <c r="H247" s="41">
        <v>0</v>
      </c>
      <c r="I247" s="31" t="s">
        <v>23</v>
      </c>
    </row>
    <row r="248" spans="3:9" ht="21">
      <c r="C248" s="128"/>
      <c r="D248" s="120"/>
      <c r="E248" s="121"/>
      <c r="F248" s="30" t="s">
        <v>20</v>
      </c>
      <c r="G248" s="41">
        <v>4</v>
      </c>
      <c r="H248" s="41">
        <v>1</v>
      </c>
      <c r="I248" s="31" t="s">
        <v>123</v>
      </c>
    </row>
    <row r="249" spans="3:9" ht="21">
      <c r="C249" s="128"/>
      <c r="D249" s="120"/>
      <c r="E249" s="121"/>
      <c r="F249" s="30" t="s">
        <v>14</v>
      </c>
      <c r="G249" s="41">
        <v>2</v>
      </c>
      <c r="H249" s="41">
        <v>2</v>
      </c>
      <c r="I249" s="31" t="s">
        <v>16</v>
      </c>
    </row>
    <row r="250" spans="3:9" ht="21">
      <c r="C250" s="128"/>
      <c r="D250" s="120"/>
      <c r="E250" s="121"/>
      <c r="F250" s="30" t="s">
        <v>121</v>
      </c>
      <c r="G250" s="41">
        <v>0</v>
      </c>
      <c r="H250" s="41">
        <v>0</v>
      </c>
      <c r="I250" s="31" t="s">
        <v>18</v>
      </c>
    </row>
    <row r="251" spans="3:9" ht="21">
      <c r="C251" s="128"/>
      <c r="D251" s="120"/>
      <c r="E251" s="121"/>
      <c r="F251" s="30" t="s">
        <v>27</v>
      </c>
      <c r="G251" s="41">
        <v>2</v>
      </c>
      <c r="H251" s="41">
        <v>2</v>
      </c>
      <c r="I251" s="31" t="s">
        <v>22</v>
      </c>
    </row>
    <row r="252" spans="3:9" ht="21">
      <c r="C252" s="128"/>
      <c r="D252" s="120"/>
      <c r="E252" s="121"/>
      <c r="F252" s="30" t="s">
        <v>13</v>
      </c>
      <c r="G252" s="41">
        <v>3</v>
      </c>
      <c r="H252" s="41">
        <v>1</v>
      </c>
      <c r="I252" s="31" t="s">
        <v>17</v>
      </c>
    </row>
    <row r="253" spans="3:9" ht="21">
      <c r="C253" s="128"/>
      <c r="D253" s="120"/>
      <c r="E253" s="121"/>
      <c r="F253" s="30" t="s">
        <v>12</v>
      </c>
      <c r="G253" s="41">
        <v>0</v>
      </c>
      <c r="H253" s="41">
        <v>0</v>
      </c>
      <c r="I253" s="31" t="s">
        <v>11</v>
      </c>
    </row>
    <row r="254" spans="3:9" ht="21">
      <c r="C254" s="129"/>
      <c r="D254" s="120"/>
      <c r="E254" s="121"/>
      <c r="F254" s="32" t="s">
        <v>122</v>
      </c>
      <c r="G254" s="42">
        <v>2</v>
      </c>
      <c r="H254" s="42">
        <v>1</v>
      </c>
      <c r="I254" s="33" t="s">
        <v>21</v>
      </c>
    </row>
    <row r="255" spans="3:9" ht="18" customHeight="1">
      <c r="C255" s="130" t="s">
        <v>58</v>
      </c>
      <c r="D255" s="122" t="s">
        <v>150</v>
      </c>
      <c r="E255" s="123"/>
      <c r="F255" s="34" t="s">
        <v>15</v>
      </c>
      <c r="G255" s="43">
        <v>0</v>
      </c>
      <c r="H255" s="43">
        <v>1</v>
      </c>
      <c r="I255" s="35" t="s">
        <v>25</v>
      </c>
    </row>
    <row r="256" spans="3:9" ht="21">
      <c r="C256" s="131"/>
      <c r="D256" s="124"/>
      <c r="E256" s="125"/>
      <c r="F256" s="36" t="s">
        <v>23</v>
      </c>
      <c r="G256" s="41">
        <v>2</v>
      </c>
      <c r="H256" s="41">
        <v>1</v>
      </c>
      <c r="I256" s="37" t="s">
        <v>19</v>
      </c>
    </row>
    <row r="257" spans="3:9" ht="21">
      <c r="C257" s="131"/>
      <c r="D257" s="124"/>
      <c r="E257" s="125"/>
      <c r="F257" s="36" t="s">
        <v>16</v>
      </c>
      <c r="G257" s="41">
        <v>3</v>
      </c>
      <c r="H257" s="41">
        <v>0</v>
      </c>
      <c r="I257" s="37" t="s">
        <v>26</v>
      </c>
    </row>
    <row r="258" spans="3:9" ht="21">
      <c r="C258" s="131"/>
      <c r="D258" s="124"/>
      <c r="E258" s="125"/>
      <c r="F258" s="36" t="s">
        <v>18</v>
      </c>
      <c r="G258" s="41">
        <v>1</v>
      </c>
      <c r="H258" s="41">
        <v>1</v>
      </c>
      <c r="I258" s="37" t="s">
        <v>14</v>
      </c>
    </row>
    <row r="259" spans="3:9" ht="21">
      <c r="C259" s="131"/>
      <c r="D259" s="124"/>
      <c r="E259" s="125"/>
      <c r="F259" s="36" t="s">
        <v>22</v>
      </c>
      <c r="G259" s="41">
        <v>1</v>
      </c>
      <c r="H259" s="41">
        <v>0</v>
      </c>
      <c r="I259" s="37" t="s">
        <v>121</v>
      </c>
    </row>
    <row r="260" spans="3:9" ht="21">
      <c r="C260" s="131"/>
      <c r="D260" s="124"/>
      <c r="E260" s="125"/>
      <c r="F260" s="36" t="s">
        <v>17</v>
      </c>
      <c r="G260" s="41">
        <v>1</v>
      </c>
      <c r="H260" s="41">
        <v>1</v>
      </c>
      <c r="I260" s="37" t="s">
        <v>27</v>
      </c>
    </row>
    <row r="261" spans="3:9" ht="21">
      <c r="C261" s="131"/>
      <c r="D261" s="124"/>
      <c r="E261" s="125"/>
      <c r="F261" s="36" t="s">
        <v>11</v>
      </c>
      <c r="G261" s="41">
        <v>7</v>
      </c>
      <c r="H261" s="41">
        <v>0</v>
      </c>
      <c r="I261" s="37" t="s">
        <v>13</v>
      </c>
    </row>
    <row r="262" spans="3:9" ht="21">
      <c r="C262" s="131"/>
      <c r="D262" s="124"/>
      <c r="E262" s="125"/>
      <c r="F262" s="36" t="s">
        <v>21</v>
      </c>
      <c r="G262" s="41">
        <v>0</v>
      </c>
      <c r="H262" s="41">
        <v>0</v>
      </c>
      <c r="I262" s="37" t="s">
        <v>12</v>
      </c>
    </row>
    <row r="263" spans="3:9" ht="21">
      <c r="C263" s="131"/>
      <c r="D263" s="124"/>
      <c r="E263" s="125"/>
      <c r="F263" s="36" t="s">
        <v>123</v>
      </c>
      <c r="G263" s="41">
        <v>1</v>
      </c>
      <c r="H263" s="41">
        <v>1</v>
      </c>
      <c r="I263" s="37" t="s">
        <v>122</v>
      </c>
    </row>
    <row r="264" spans="3:9" ht="21">
      <c r="C264" s="132"/>
      <c r="D264" s="126"/>
      <c r="E264" s="127"/>
      <c r="F264" s="38" t="s">
        <v>20</v>
      </c>
      <c r="G264" s="44">
        <v>1</v>
      </c>
      <c r="H264" s="44">
        <v>2</v>
      </c>
      <c r="I264" s="39" t="s">
        <v>24</v>
      </c>
    </row>
    <row r="265" spans="3:9" ht="18" customHeight="1">
      <c r="C265" s="128" t="s">
        <v>57</v>
      </c>
      <c r="D265" s="120" t="s">
        <v>149</v>
      </c>
      <c r="E265" s="121"/>
      <c r="F265" s="28" t="s">
        <v>24</v>
      </c>
      <c r="G265" s="40">
        <v>1</v>
      </c>
      <c r="H265" s="40">
        <v>2</v>
      </c>
      <c r="I265" s="29" t="s">
        <v>15</v>
      </c>
    </row>
    <row r="266" spans="3:9" ht="21">
      <c r="C266" s="128"/>
      <c r="D266" s="120"/>
      <c r="E266" s="121"/>
      <c r="F266" s="30" t="s">
        <v>25</v>
      </c>
      <c r="G266" s="41">
        <v>1</v>
      </c>
      <c r="H266" s="41">
        <v>0</v>
      </c>
      <c r="I266" s="31" t="s">
        <v>23</v>
      </c>
    </row>
    <row r="267" spans="3:9" ht="21">
      <c r="C267" s="128"/>
      <c r="D267" s="120"/>
      <c r="E267" s="121"/>
      <c r="F267" s="30" t="s">
        <v>19</v>
      </c>
      <c r="G267" s="41">
        <v>2</v>
      </c>
      <c r="H267" s="41">
        <v>0</v>
      </c>
      <c r="I267" s="31" t="s">
        <v>16</v>
      </c>
    </row>
    <row r="268" spans="3:9" ht="21">
      <c r="C268" s="128"/>
      <c r="D268" s="120"/>
      <c r="E268" s="121"/>
      <c r="F268" s="30" t="s">
        <v>26</v>
      </c>
      <c r="G268" s="41">
        <v>2</v>
      </c>
      <c r="H268" s="41">
        <v>0</v>
      </c>
      <c r="I268" s="31" t="s">
        <v>18</v>
      </c>
    </row>
    <row r="269" spans="3:9" ht="21">
      <c r="C269" s="128"/>
      <c r="D269" s="120"/>
      <c r="E269" s="121"/>
      <c r="F269" s="30" t="s">
        <v>14</v>
      </c>
      <c r="G269" s="41">
        <v>3</v>
      </c>
      <c r="H269" s="41">
        <v>1</v>
      </c>
      <c r="I269" s="31" t="s">
        <v>22</v>
      </c>
    </row>
    <row r="270" spans="3:9" ht="21">
      <c r="C270" s="128"/>
      <c r="D270" s="120"/>
      <c r="E270" s="121"/>
      <c r="F270" s="30" t="s">
        <v>121</v>
      </c>
      <c r="G270" s="41">
        <v>1</v>
      </c>
      <c r="H270" s="41">
        <v>2</v>
      </c>
      <c r="I270" s="31" t="s">
        <v>17</v>
      </c>
    </row>
    <row r="271" spans="3:9" ht="21">
      <c r="C271" s="128"/>
      <c r="D271" s="120"/>
      <c r="E271" s="121"/>
      <c r="F271" s="30" t="s">
        <v>27</v>
      </c>
      <c r="G271" s="41">
        <v>1</v>
      </c>
      <c r="H271" s="41">
        <v>3</v>
      </c>
      <c r="I271" s="31" t="s">
        <v>11</v>
      </c>
    </row>
    <row r="272" spans="3:9" ht="21">
      <c r="C272" s="128"/>
      <c r="D272" s="120"/>
      <c r="E272" s="121"/>
      <c r="F272" s="30" t="s">
        <v>13</v>
      </c>
      <c r="G272" s="41">
        <v>0</v>
      </c>
      <c r="H272" s="41">
        <v>1</v>
      </c>
      <c r="I272" s="31" t="s">
        <v>21</v>
      </c>
    </row>
    <row r="273" spans="3:9" ht="21">
      <c r="C273" s="128"/>
      <c r="D273" s="120"/>
      <c r="E273" s="121"/>
      <c r="F273" s="30" t="s">
        <v>12</v>
      </c>
      <c r="G273" s="41">
        <v>2</v>
      </c>
      <c r="H273" s="41">
        <v>1</v>
      </c>
      <c r="I273" s="31" t="s">
        <v>123</v>
      </c>
    </row>
    <row r="274" spans="3:9" ht="21">
      <c r="C274" s="129"/>
      <c r="D274" s="120"/>
      <c r="E274" s="121"/>
      <c r="F274" s="32" t="s">
        <v>122</v>
      </c>
      <c r="G274" s="42">
        <v>1</v>
      </c>
      <c r="H274" s="42">
        <v>0</v>
      </c>
      <c r="I274" s="33" t="s">
        <v>20</v>
      </c>
    </row>
    <row r="275" spans="3:9" ht="18" customHeight="1">
      <c r="C275" s="130" t="s">
        <v>56</v>
      </c>
      <c r="D275" s="122" t="s">
        <v>151</v>
      </c>
      <c r="E275" s="123"/>
      <c r="F275" s="34" t="s">
        <v>23</v>
      </c>
      <c r="G275" s="43">
        <v>4</v>
      </c>
      <c r="H275" s="43">
        <v>0</v>
      </c>
      <c r="I275" s="35" t="s">
        <v>15</v>
      </c>
    </row>
    <row r="276" spans="3:9" ht="21">
      <c r="C276" s="131"/>
      <c r="D276" s="124"/>
      <c r="E276" s="125"/>
      <c r="F276" s="36" t="s">
        <v>16</v>
      </c>
      <c r="G276" s="41">
        <v>1</v>
      </c>
      <c r="H276" s="41">
        <v>1</v>
      </c>
      <c r="I276" s="37" t="s">
        <v>25</v>
      </c>
    </row>
    <row r="277" spans="3:9" ht="21">
      <c r="C277" s="131"/>
      <c r="D277" s="124"/>
      <c r="E277" s="125"/>
      <c r="F277" s="36" t="s">
        <v>18</v>
      </c>
      <c r="G277" s="41">
        <v>2</v>
      </c>
      <c r="H277" s="41">
        <v>2</v>
      </c>
      <c r="I277" s="37" t="s">
        <v>19</v>
      </c>
    </row>
    <row r="278" spans="3:9" ht="21">
      <c r="C278" s="131"/>
      <c r="D278" s="124"/>
      <c r="E278" s="125"/>
      <c r="F278" s="36" t="s">
        <v>22</v>
      </c>
      <c r="G278" s="41">
        <v>1</v>
      </c>
      <c r="H278" s="41">
        <v>1</v>
      </c>
      <c r="I278" s="37" t="s">
        <v>26</v>
      </c>
    </row>
    <row r="279" spans="3:9" ht="21">
      <c r="C279" s="131"/>
      <c r="D279" s="124"/>
      <c r="E279" s="125"/>
      <c r="F279" s="36" t="s">
        <v>17</v>
      </c>
      <c r="G279" s="41">
        <v>2</v>
      </c>
      <c r="H279" s="41">
        <v>2</v>
      </c>
      <c r="I279" s="37" t="s">
        <v>14</v>
      </c>
    </row>
    <row r="280" spans="3:9" ht="21">
      <c r="C280" s="131"/>
      <c r="D280" s="124"/>
      <c r="E280" s="125"/>
      <c r="F280" s="36" t="s">
        <v>11</v>
      </c>
      <c r="G280" s="41">
        <v>2</v>
      </c>
      <c r="H280" s="41">
        <v>0</v>
      </c>
      <c r="I280" s="37" t="s">
        <v>121</v>
      </c>
    </row>
    <row r="281" spans="3:9" ht="21">
      <c r="C281" s="131"/>
      <c r="D281" s="124"/>
      <c r="E281" s="125"/>
      <c r="F281" s="36" t="s">
        <v>21</v>
      </c>
      <c r="G281" s="41">
        <v>3</v>
      </c>
      <c r="H281" s="41">
        <v>1</v>
      </c>
      <c r="I281" s="37" t="s">
        <v>27</v>
      </c>
    </row>
    <row r="282" spans="3:9" ht="21">
      <c r="C282" s="131"/>
      <c r="D282" s="124"/>
      <c r="E282" s="125"/>
      <c r="F282" s="36" t="s">
        <v>123</v>
      </c>
      <c r="G282" s="41">
        <v>0</v>
      </c>
      <c r="H282" s="41">
        <v>2</v>
      </c>
      <c r="I282" s="37" t="s">
        <v>13</v>
      </c>
    </row>
    <row r="283" spans="3:9" ht="21">
      <c r="C283" s="131"/>
      <c r="D283" s="124"/>
      <c r="E283" s="125"/>
      <c r="F283" s="36" t="s">
        <v>20</v>
      </c>
      <c r="G283" s="41">
        <v>2</v>
      </c>
      <c r="H283" s="41">
        <v>0</v>
      </c>
      <c r="I283" s="37" t="s">
        <v>12</v>
      </c>
    </row>
    <row r="284" spans="3:9" ht="21">
      <c r="C284" s="132"/>
      <c r="D284" s="126"/>
      <c r="E284" s="127"/>
      <c r="F284" s="38" t="s">
        <v>122</v>
      </c>
      <c r="G284" s="44">
        <v>1</v>
      </c>
      <c r="H284" s="44">
        <v>1</v>
      </c>
      <c r="I284" s="39" t="s">
        <v>24</v>
      </c>
    </row>
    <row r="285" spans="3:9" ht="18" customHeight="1">
      <c r="C285" s="128" t="s">
        <v>55</v>
      </c>
      <c r="D285" s="120" t="s">
        <v>152</v>
      </c>
      <c r="E285" s="121"/>
      <c r="F285" s="28" t="s">
        <v>24</v>
      </c>
      <c r="G285" s="40">
        <v>1</v>
      </c>
      <c r="H285" s="40">
        <v>0</v>
      </c>
      <c r="I285" s="29" t="s">
        <v>23</v>
      </c>
    </row>
    <row r="286" spans="3:9" ht="21">
      <c r="C286" s="128"/>
      <c r="D286" s="120"/>
      <c r="E286" s="121"/>
      <c r="F286" s="30" t="s">
        <v>15</v>
      </c>
      <c r="G286" s="41">
        <v>0</v>
      </c>
      <c r="H286" s="41">
        <v>1</v>
      </c>
      <c r="I286" s="31" t="s">
        <v>16</v>
      </c>
    </row>
    <row r="287" spans="3:9" ht="21">
      <c r="C287" s="128"/>
      <c r="D287" s="120"/>
      <c r="E287" s="121"/>
      <c r="F287" s="30" t="s">
        <v>25</v>
      </c>
      <c r="G287" s="41">
        <v>2</v>
      </c>
      <c r="H287" s="41">
        <v>1</v>
      </c>
      <c r="I287" s="31" t="s">
        <v>18</v>
      </c>
    </row>
    <row r="288" spans="3:9" ht="21">
      <c r="C288" s="128"/>
      <c r="D288" s="120"/>
      <c r="E288" s="121"/>
      <c r="F288" s="30" t="s">
        <v>19</v>
      </c>
      <c r="G288" s="41">
        <v>0</v>
      </c>
      <c r="H288" s="41">
        <v>1</v>
      </c>
      <c r="I288" s="31" t="s">
        <v>22</v>
      </c>
    </row>
    <row r="289" spans="3:9" ht="21">
      <c r="C289" s="128"/>
      <c r="D289" s="120"/>
      <c r="E289" s="121"/>
      <c r="F289" s="30" t="s">
        <v>26</v>
      </c>
      <c r="G289" s="41">
        <v>1</v>
      </c>
      <c r="H289" s="41">
        <v>0</v>
      </c>
      <c r="I289" s="31" t="s">
        <v>17</v>
      </c>
    </row>
    <row r="290" spans="3:9" ht="21">
      <c r="C290" s="128"/>
      <c r="D290" s="120"/>
      <c r="E290" s="121"/>
      <c r="F290" s="30" t="s">
        <v>14</v>
      </c>
      <c r="G290" s="41">
        <v>1</v>
      </c>
      <c r="H290" s="41">
        <v>2</v>
      </c>
      <c r="I290" s="31" t="s">
        <v>11</v>
      </c>
    </row>
    <row r="291" spans="3:9" ht="21">
      <c r="C291" s="128"/>
      <c r="D291" s="120"/>
      <c r="E291" s="121"/>
      <c r="F291" s="30" t="s">
        <v>121</v>
      </c>
      <c r="G291" s="41">
        <v>0</v>
      </c>
      <c r="H291" s="41">
        <v>4</v>
      </c>
      <c r="I291" s="31" t="s">
        <v>21</v>
      </c>
    </row>
    <row r="292" spans="3:9" ht="21">
      <c r="C292" s="128"/>
      <c r="D292" s="120"/>
      <c r="E292" s="121"/>
      <c r="F292" s="30" t="s">
        <v>27</v>
      </c>
      <c r="G292" s="41">
        <v>2</v>
      </c>
      <c r="H292" s="41">
        <v>1</v>
      </c>
      <c r="I292" s="31" t="s">
        <v>123</v>
      </c>
    </row>
    <row r="293" spans="3:9" ht="21">
      <c r="C293" s="128"/>
      <c r="D293" s="120"/>
      <c r="E293" s="121"/>
      <c r="F293" s="30" t="s">
        <v>13</v>
      </c>
      <c r="G293" s="41">
        <v>2</v>
      </c>
      <c r="H293" s="41">
        <v>0</v>
      </c>
      <c r="I293" s="31" t="s">
        <v>20</v>
      </c>
    </row>
    <row r="294" spans="3:9" ht="21">
      <c r="C294" s="129"/>
      <c r="D294" s="120"/>
      <c r="E294" s="121"/>
      <c r="F294" s="32" t="s">
        <v>12</v>
      </c>
      <c r="G294" s="42">
        <v>0</v>
      </c>
      <c r="H294" s="42">
        <v>1</v>
      </c>
      <c r="I294" s="33" t="s">
        <v>122</v>
      </c>
    </row>
    <row r="295" spans="3:9" ht="18" customHeight="1">
      <c r="C295" s="130" t="s">
        <v>50</v>
      </c>
      <c r="D295" s="122" t="s">
        <v>153</v>
      </c>
      <c r="E295" s="123"/>
      <c r="F295" s="34" t="s">
        <v>18</v>
      </c>
      <c r="G295" s="43">
        <v>2</v>
      </c>
      <c r="H295" s="43">
        <v>4</v>
      </c>
      <c r="I295" s="35" t="s">
        <v>15</v>
      </c>
    </row>
    <row r="296" spans="3:9" ht="21">
      <c r="C296" s="131"/>
      <c r="D296" s="124"/>
      <c r="E296" s="125"/>
      <c r="F296" s="36" t="s">
        <v>22</v>
      </c>
      <c r="G296" s="41">
        <v>0</v>
      </c>
      <c r="H296" s="41">
        <v>1</v>
      </c>
      <c r="I296" s="37" t="s">
        <v>25</v>
      </c>
    </row>
    <row r="297" spans="3:9" ht="21">
      <c r="C297" s="131"/>
      <c r="D297" s="124"/>
      <c r="E297" s="125"/>
      <c r="F297" s="36" t="s">
        <v>17</v>
      </c>
      <c r="G297" s="41">
        <v>1</v>
      </c>
      <c r="H297" s="41">
        <v>3</v>
      </c>
      <c r="I297" s="37" t="s">
        <v>19</v>
      </c>
    </row>
    <row r="298" spans="3:9" ht="21">
      <c r="C298" s="131"/>
      <c r="D298" s="124"/>
      <c r="E298" s="125"/>
      <c r="F298" s="36" t="s">
        <v>11</v>
      </c>
      <c r="G298" s="41">
        <v>0</v>
      </c>
      <c r="H298" s="41">
        <v>1</v>
      </c>
      <c r="I298" s="37" t="s">
        <v>26</v>
      </c>
    </row>
    <row r="299" spans="3:9" ht="21">
      <c r="C299" s="131"/>
      <c r="D299" s="124"/>
      <c r="E299" s="125"/>
      <c r="F299" s="36" t="s">
        <v>21</v>
      </c>
      <c r="G299" s="41">
        <v>2</v>
      </c>
      <c r="H299" s="41">
        <v>3</v>
      </c>
      <c r="I299" s="37" t="s">
        <v>14</v>
      </c>
    </row>
    <row r="300" spans="3:9" ht="21">
      <c r="C300" s="131"/>
      <c r="D300" s="124"/>
      <c r="E300" s="125"/>
      <c r="F300" s="36" t="s">
        <v>123</v>
      </c>
      <c r="G300" s="41">
        <v>1</v>
      </c>
      <c r="H300" s="41">
        <v>3</v>
      </c>
      <c r="I300" s="37" t="s">
        <v>121</v>
      </c>
    </row>
    <row r="301" spans="3:9" ht="21">
      <c r="C301" s="131"/>
      <c r="D301" s="124"/>
      <c r="E301" s="125"/>
      <c r="F301" s="36" t="s">
        <v>20</v>
      </c>
      <c r="G301" s="41">
        <v>1</v>
      </c>
      <c r="H301" s="41">
        <v>2</v>
      </c>
      <c r="I301" s="37" t="s">
        <v>27</v>
      </c>
    </row>
    <row r="302" spans="3:9" ht="21">
      <c r="C302" s="131"/>
      <c r="D302" s="124"/>
      <c r="E302" s="125"/>
      <c r="F302" s="36" t="s">
        <v>122</v>
      </c>
      <c r="G302" s="41">
        <v>3</v>
      </c>
      <c r="H302" s="41">
        <v>1</v>
      </c>
      <c r="I302" s="37" t="s">
        <v>13</v>
      </c>
    </row>
    <row r="303" spans="3:9" ht="21">
      <c r="C303" s="131"/>
      <c r="D303" s="124"/>
      <c r="E303" s="125"/>
      <c r="F303" s="36" t="s">
        <v>12</v>
      </c>
      <c r="G303" s="41">
        <v>2</v>
      </c>
      <c r="H303" s="41">
        <v>1</v>
      </c>
      <c r="I303" s="37" t="s">
        <v>24</v>
      </c>
    </row>
    <row r="304" spans="3:9" ht="21">
      <c r="C304" s="132"/>
      <c r="D304" s="126"/>
      <c r="E304" s="127"/>
      <c r="F304" s="38" t="s">
        <v>16</v>
      </c>
      <c r="G304" s="44">
        <v>3</v>
      </c>
      <c r="H304" s="44">
        <v>1</v>
      </c>
      <c r="I304" s="39" t="s">
        <v>23</v>
      </c>
    </row>
    <row r="305" spans="3:9" ht="18" customHeight="1">
      <c r="C305" s="128" t="s">
        <v>51</v>
      </c>
      <c r="D305" s="120" t="s">
        <v>154</v>
      </c>
      <c r="E305" s="121"/>
      <c r="F305" s="28" t="s">
        <v>24</v>
      </c>
      <c r="G305" s="40"/>
      <c r="H305" s="40"/>
      <c r="I305" s="29" t="s">
        <v>16</v>
      </c>
    </row>
    <row r="306" spans="3:9" ht="21">
      <c r="C306" s="128"/>
      <c r="D306" s="120"/>
      <c r="E306" s="121"/>
      <c r="F306" s="30" t="s">
        <v>23</v>
      </c>
      <c r="G306" s="41"/>
      <c r="H306" s="41"/>
      <c r="I306" s="31" t="s">
        <v>18</v>
      </c>
    </row>
    <row r="307" spans="3:9" ht="21">
      <c r="C307" s="128"/>
      <c r="D307" s="120"/>
      <c r="E307" s="121"/>
      <c r="F307" s="30" t="s">
        <v>15</v>
      </c>
      <c r="G307" s="41"/>
      <c r="H307" s="41"/>
      <c r="I307" s="31" t="s">
        <v>22</v>
      </c>
    </row>
    <row r="308" spans="3:9" ht="21">
      <c r="C308" s="128"/>
      <c r="D308" s="120"/>
      <c r="E308" s="121"/>
      <c r="F308" s="30" t="s">
        <v>25</v>
      </c>
      <c r="G308" s="41"/>
      <c r="H308" s="41"/>
      <c r="I308" s="31" t="s">
        <v>17</v>
      </c>
    </row>
    <row r="309" spans="3:9" ht="21">
      <c r="C309" s="128"/>
      <c r="D309" s="120"/>
      <c r="E309" s="121"/>
      <c r="F309" s="30" t="s">
        <v>19</v>
      </c>
      <c r="G309" s="41"/>
      <c r="H309" s="41"/>
      <c r="I309" s="31" t="s">
        <v>11</v>
      </c>
    </row>
    <row r="310" spans="3:9" ht="21">
      <c r="C310" s="128"/>
      <c r="D310" s="120"/>
      <c r="E310" s="121"/>
      <c r="F310" s="30" t="s">
        <v>26</v>
      </c>
      <c r="G310" s="41"/>
      <c r="H310" s="41"/>
      <c r="I310" s="31" t="s">
        <v>21</v>
      </c>
    </row>
    <row r="311" spans="3:9" ht="21">
      <c r="C311" s="128"/>
      <c r="D311" s="120"/>
      <c r="E311" s="121"/>
      <c r="F311" s="30" t="s">
        <v>14</v>
      </c>
      <c r="G311" s="41"/>
      <c r="H311" s="41"/>
      <c r="I311" s="31" t="s">
        <v>123</v>
      </c>
    </row>
    <row r="312" spans="3:9" ht="21">
      <c r="C312" s="128"/>
      <c r="D312" s="120"/>
      <c r="E312" s="121"/>
      <c r="F312" s="30" t="s">
        <v>121</v>
      </c>
      <c r="G312" s="41"/>
      <c r="H312" s="41"/>
      <c r="I312" s="31" t="s">
        <v>20</v>
      </c>
    </row>
    <row r="313" spans="3:9" ht="21">
      <c r="C313" s="128"/>
      <c r="D313" s="120"/>
      <c r="E313" s="121"/>
      <c r="F313" s="30" t="s">
        <v>27</v>
      </c>
      <c r="G313" s="41"/>
      <c r="H313" s="41"/>
      <c r="I313" s="31" t="s">
        <v>122</v>
      </c>
    </row>
    <row r="314" spans="3:9" ht="21">
      <c r="C314" s="129"/>
      <c r="D314" s="120"/>
      <c r="E314" s="121"/>
      <c r="F314" s="32" t="s">
        <v>13</v>
      </c>
      <c r="G314" s="42"/>
      <c r="H314" s="42"/>
      <c r="I314" s="33" t="s">
        <v>12</v>
      </c>
    </row>
    <row r="315" spans="3:9" ht="18" customHeight="1">
      <c r="C315" s="130" t="s">
        <v>52</v>
      </c>
      <c r="D315" s="122" t="s">
        <v>155</v>
      </c>
      <c r="E315" s="123"/>
      <c r="F315" s="34" t="s">
        <v>18</v>
      </c>
      <c r="G315" s="43"/>
      <c r="H315" s="43"/>
      <c r="I315" s="35" t="s">
        <v>16</v>
      </c>
    </row>
    <row r="316" spans="3:9" ht="21">
      <c r="C316" s="131"/>
      <c r="D316" s="124"/>
      <c r="E316" s="125"/>
      <c r="F316" s="36" t="s">
        <v>22</v>
      </c>
      <c r="G316" s="41"/>
      <c r="H316" s="41"/>
      <c r="I316" s="37" t="s">
        <v>23</v>
      </c>
    </row>
    <row r="317" spans="3:9" ht="21">
      <c r="C317" s="131"/>
      <c r="D317" s="124"/>
      <c r="E317" s="125"/>
      <c r="F317" s="36" t="s">
        <v>17</v>
      </c>
      <c r="G317" s="41"/>
      <c r="H317" s="41"/>
      <c r="I317" s="37" t="s">
        <v>15</v>
      </c>
    </row>
    <row r="318" spans="3:9" ht="21">
      <c r="C318" s="131"/>
      <c r="D318" s="124"/>
      <c r="E318" s="125"/>
      <c r="F318" s="36" t="s">
        <v>11</v>
      </c>
      <c r="G318" s="41"/>
      <c r="H318" s="41"/>
      <c r="I318" s="37" t="s">
        <v>25</v>
      </c>
    </row>
    <row r="319" spans="3:9" ht="21">
      <c r="C319" s="131"/>
      <c r="D319" s="124"/>
      <c r="E319" s="125"/>
      <c r="F319" s="36" t="s">
        <v>21</v>
      </c>
      <c r="G319" s="41"/>
      <c r="H319" s="41"/>
      <c r="I319" s="37" t="s">
        <v>19</v>
      </c>
    </row>
    <row r="320" spans="3:9" ht="21">
      <c r="C320" s="131"/>
      <c r="D320" s="124"/>
      <c r="E320" s="125"/>
      <c r="F320" s="36" t="s">
        <v>123</v>
      </c>
      <c r="G320" s="41"/>
      <c r="H320" s="41"/>
      <c r="I320" s="37" t="s">
        <v>26</v>
      </c>
    </row>
    <row r="321" spans="3:9" ht="21">
      <c r="C321" s="131"/>
      <c r="D321" s="124"/>
      <c r="E321" s="125"/>
      <c r="F321" s="36" t="s">
        <v>20</v>
      </c>
      <c r="G321" s="41"/>
      <c r="H321" s="41"/>
      <c r="I321" s="37" t="s">
        <v>14</v>
      </c>
    </row>
    <row r="322" spans="3:9" ht="21">
      <c r="C322" s="131"/>
      <c r="D322" s="124"/>
      <c r="E322" s="125"/>
      <c r="F322" s="36" t="s">
        <v>122</v>
      </c>
      <c r="G322" s="41"/>
      <c r="H322" s="41"/>
      <c r="I322" s="37" t="s">
        <v>121</v>
      </c>
    </row>
    <row r="323" spans="3:9" ht="21">
      <c r="C323" s="131"/>
      <c r="D323" s="124"/>
      <c r="E323" s="125"/>
      <c r="F323" s="36" t="s">
        <v>12</v>
      </c>
      <c r="G323" s="41"/>
      <c r="H323" s="41"/>
      <c r="I323" s="37" t="s">
        <v>27</v>
      </c>
    </row>
    <row r="324" spans="3:9" ht="21">
      <c r="C324" s="132"/>
      <c r="D324" s="126"/>
      <c r="E324" s="127"/>
      <c r="F324" s="38" t="s">
        <v>13</v>
      </c>
      <c r="G324" s="44"/>
      <c r="H324" s="44"/>
      <c r="I324" s="39" t="s">
        <v>24</v>
      </c>
    </row>
    <row r="325" spans="3:9" ht="18" customHeight="1">
      <c r="C325" s="128" t="s">
        <v>53</v>
      </c>
      <c r="D325" s="120" t="s">
        <v>156</v>
      </c>
      <c r="E325" s="121"/>
      <c r="F325" s="28" t="s">
        <v>24</v>
      </c>
      <c r="G325" s="40"/>
      <c r="H325" s="40"/>
      <c r="I325" s="29" t="s">
        <v>18</v>
      </c>
    </row>
    <row r="326" spans="3:9" ht="21">
      <c r="C326" s="128"/>
      <c r="D326" s="120"/>
      <c r="E326" s="121"/>
      <c r="F326" s="30" t="s">
        <v>16</v>
      </c>
      <c r="G326" s="41"/>
      <c r="H326" s="41"/>
      <c r="I326" s="31" t="s">
        <v>22</v>
      </c>
    </row>
    <row r="327" spans="3:9" ht="21">
      <c r="C327" s="128"/>
      <c r="D327" s="120"/>
      <c r="E327" s="121"/>
      <c r="F327" s="30" t="s">
        <v>23</v>
      </c>
      <c r="G327" s="41"/>
      <c r="H327" s="41"/>
      <c r="I327" s="31" t="s">
        <v>17</v>
      </c>
    </row>
    <row r="328" spans="3:9" ht="21">
      <c r="C328" s="128"/>
      <c r="D328" s="120"/>
      <c r="E328" s="121"/>
      <c r="F328" s="30" t="s">
        <v>15</v>
      </c>
      <c r="G328" s="41"/>
      <c r="H328" s="41"/>
      <c r="I328" s="31" t="s">
        <v>11</v>
      </c>
    </row>
    <row r="329" spans="3:9" ht="21">
      <c r="C329" s="128"/>
      <c r="D329" s="120"/>
      <c r="E329" s="121"/>
      <c r="F329" s="30" t="s">
        <v>25</v>
      </c>
      <c r="G329" s="41"/>
      <c r="H329" s="41"/>
      <c r="I329" s="31" t="s">
        <v>21</v>
      </c>
    </row>
    <row r="330" spans="3:9" ht="21">
      <c r="C330" s="128"/>
      <c r="D330" s="120"/>
      <c r="E330" s="121"/>
      <c r="F330" s="30" t="s">
        <v>19</v>
      </c>
      <c r="G330" s="41"/>
      <c r="H330" s="41"/>
      <c r="I330" s="31" t="s">
        <v>123</v>
      </c>
    </row>
    <row r="331" spans="3:9" ht="21">
      <c r="C331" s="128"/>
      <c r="D331" s="120"/>
      <c r="E331" s="121"/>
      <c r="F331" s="30" t="s">
        <v>26</v>
      </c>
      <c r="G331" s="41"/>
      <c r="H331" s="41"/>
      <c r="I331" s="31" t="s">
        <v>20</v>
      </c>
    </row>
    <row r="332" spans="3:9" ht="21">
      <c r="C332" s="128"/>
      <c r="D332" s="120"/>
      <c r="E332" s="121"/>
      <c r="F332" s="30" t="s">
        <v>14</v>
      </c>
      <c r="G332" s="41"/>
      <c r="H332" s="41"/>
      <c r="I332" s="31" t="s">
        <v>122</v>
      </c>
    </row>
    <row r="333" spans="3:9" ht="21">
      <c r="C333" s="128"/>
      <c r="D333" s="120"/>
      <c r="E333" s="121"/>
      <c r="F333" s="30" t="s">
        <v>121</v>
      </c>
      <c r="G333" s="41"/>
      <c r="H333" s="41"/>
      <c r="I333" s="31" t="s">
        <v>12</v>
      </c>
    </row>
    <row r="334" spans="3:9" ht="21">
      <c r="C334" s="129"/>
      <c r="D334" s="120"/>
      <c r="E334" s="121"/>
      <c r="F334" s="32" t="s">
        <v>27</v>
      </c>
      <c r="G334" s="42"/>
      <c r="H334" s="42"/>
      <c r="I334" s="33" t="s">
        <v>13</v>
      </c>
    </row>
    <row r="335" spans="3:9" ht="18" customHeight="1">
      <c r="C335" s="130" t="s">
        <v>54</v>
      </c>
      <c r="D335" s="122" t="s">
        <v>157</v>
      </c>
      <c r="E335" s="123"/>
      <c r="F335" s="34" t="s">
        <v>11</v>
      </c>
      <c r="G335" s="43"/>
      <c r="H335" s="43"/>
      <c r="I335" s="35" t="s">
        <v>23</v>
      </c>
    </row>
    <row r="336" spans="3:9" ht="21">
      <c r="C336" s="131"/>
      <c r="D336" s="124"/>
      <c r="E336" s="125"/>
      <c r="F336" s="36" t="s">
        <v>21</v>
      </c>
      <c r="G336" s="41"/>
      <c r="H336" s="41"/>
      <c r="I336" s="37" t="s">
        <v>15</v>
      </c>
    </row>
    <row r="337" spans="3:9" ht="21">
      <c r="C337" s="131"/>
      <c r="D337" s="124"/>
      <c r="E337" s="125"/>
      <c r="F337" s="36" t="s">
        <v>123</v>
      </c>
      <c r="G337" s="41"/>
      <c r="H337" s="41"/>
      <c r="I337" s="37" t="s">
        <v>25</v>
      </c>
    </row>
    <row r="338" spans="3:9" ht="21">
      <c r="C338" s="131"/>
      <c r="D338" s="124"/>
      <c r="E338" s="125"/>
      <c r="F338" s="36" t="s">
        <v>20</v>
      </c>
      <c r="G338" s="41"/>
      <c r="H338" s="41"/>
      <c r="I338" s="37" t="s">
        <v>19</v>
      </c>
    </row>
    <row r="339" spans="3:9" ht="21">
      <c r="C339" s="131"/>
      <c r="D339" s="124"/>
      <c r="E339" s="125"/>
      <c r="F339" s="36" t="s">
        <v>122</v>
      </c>
      <c r="G339" s="41"/>
      <c r="H339" s="41"/>
      <c r="I339" s="37" t="s">
        <v>26</v>
      </c>
    </row>
    <row r="340" spans="3:9" ht="21">
      <c r="C340" s="131"/>
      <c r="D340" s="124"/>
      <c r="E340" s="125"/>
      <c r="F340" s="36" t="s">
        <v>12</v>
      </c>
      <c r="G340" s="41"/>
      <c r="H340" s="41"/>
      <c r="I340" s="37" t="s">
        <v>14</v>
      </c>
    </row>
    <row r="341" spans="3:9" ht="21">
      <c r="C341" s="131"/>
      <c r="D341" s="124"/>
      <c r="E341" s="125"/>
      <c r="F341" s="36" t="s">
        <v>13</v>
      </c>
      <c r="G341" s="41"/>
      <c r="H341" s="41"/>
      <c r="I341" s="37" t="s">
        <v>121</v>
      </c>
    </row>
    <row r="342" spans="3:9" ht="21">
      <c r="C342" s="131"/>
      <c r="D342" s="124"/>
      <c r="E342" s="125"/>
      <c r="F342" s="36" t="s">
        <v>27</v>
      </c>
      <c r="G342" s="41"/>
      <c r="H342" s="41"/>
      <c r="I342" s="37" t="s">
        <v>24</v>
      </c>
    </row>
    <row r="343" spans="3:9" ht="21">
      <c r="C343" s="131"/>
      <c r="D343" s="124"/>
      <c r="E343" s="125"/>
      <c r="F343" s="36" t="s">
        <v>22</v>
      </c>
      <c r="G343" s="41"/>
      <c r="H343" s="41"/>
      <c r="I343" s="37" t="s">
        <v>18</v>
      </c>
    </row>
    <row r="344" spans="3:9" ht="21">
      <c r="C344" s="132"/>
      <c r="D344" s="126"/>
      <c r="E344" s="127"/>
      <c r="F344" s="38" t="s">
        <v>17</v>
      </c>
      <c r="G344" s="44"/>
      <c r="H344" s="44"/>
      <c r="I344" s="39" t="s">
        <v>16</v>
      </c>
    </row>
    <row r="345" spans="3:9" ht="18" customHeight="1">
      <c r="C345" s="128" t="s">
        <v>49</v>
      </c>
      <c r="D345" s="120" t="s">
        <v>158</v>
      </c>
      <c r="E345" s="121"/>
      <c r="F345" s="28" t="s">
        <v>24</v>
      </c>
      <c r="G345" s="40"/>
      <c r="H345" s="40"/>
      <c r="I345" s="29" t="s">
        <v>22</v>
      </c>
    </row>
    <row r="346" spans="3:9" ht="21">
      <c r="C346" s="128"/>
      <c r="D346" s="120"/>
      <c r="E346" s="121"/>
      <c r="F346" s="30" t="s">
        <v>18</v>
      </c>
      <c r="G346" s="41"/>
      <c r="H346" s="41"/>
      <c r="I346" s="31" t="s">
        <v>17</v>
      </c>
    </row>
    <row r="347" spans="3:9" ht="21">
      <c r="C347" s="128"/>
      <c r="D347" s="120"/>
      <c r="E347" s="121"/>
      <c r="F347" s="30" t="s">
        <v>16</v>
      </c>
      <c r="G347" s="41"/>
      <c r="H347" s="41"/>
      <c r="I347" s="31" t="s">
        <v>11</v>
      </c>
    </row>
    <row r="348" spans="3:9" ht="21">
      <c r="C348" s="128"/>
      <c r="D348" s="120"/>
      <c r="E348" s="121"/>
      <c r="F348" s="30" t="s">
        <v>23</v>
      </c>
      <c r="G348" s="41"/>
      <c r="H348" s="41"/>
      <c r="I348" s="31" t="s">
        <v>21</v>
      </c>
    </row>
    <row r="349" spans="3:9" ht="21">
      <c r="C349" s="128"/>
      <c r="D349" s="120"/>
      <c r="E349" s="121"/>
      <c r="F349" s="30" t="s">
        <v>15</v>
      </c>
      <c r="G349" s="41"/>
      <c r="H349" s="41"/>
      <c r="I349" s="31" t="s">
        <v>123</v>
      </c>
    </row>
    <row r="350" spans="3:9" ht="21">
      <c r="C350" s="128"/>
      <c r="D350" s="120"/>
      <c r="E350" s="121"/>
      <c r="F350" s="30" t="s">
        <v>25</v>
      </c>
      <c r="G350" s="41"/>
      <c r="H350" s="41"/>
      <c r="I350" s="31" t="s">
        <v>20</v>
      </c>
    </row>
    <row r="351" spans="3:9" ht="21">
      <c r="C351" s="128"/>
      <c r="D351" s="120"/>
      <c r="E351" s="121"/>
      <c r="F351" s="30" t="s">
        <v>19</v>
      </c>
      <c r="G351" s="41"/>
      <c r="H351" s="41"/>
      <c r="I351" s="31" t="s">
        <v>122</v>
      </c>
    </row>
    <row r="352" spans="3:9" ht="21">
      <c r="C352" s="128"/>
      <c r="D352" s="120"/>
      <c r="E352" s="121"/>
      <c r="F352" s="30" t="s">
        <v>26</v>
      </c>
      <c r="G352" s="41"/>
      <c r="H352" s="41"/>
      <c r="I352" s="31" t="s">
        <v>12</v>
      </c>
    </row>
    <row r="353" spans="3:9" ht="21">
      <c r="C353" s="128"/>
      <c r="D353" s="120"/>
      <c r="E353" s="121"/>
      <c r="F353" s="30" t="s">
        <v>14</v>
      </c>
      <c r="G353" s="41"/>
      <c r="H353" s="41"/>
      <c r="I353" s="31" t="s">
        <v>13</v>
      </c>
    </row>
    <row r="354" spans="3:9" ht="21">
      <c r="C354" s="129"/>
      <c r="D354" s="120"/>
      <c r="E354" s="121"/>
      <c r="F354" s="32" t="s">
        <v>121</v>
      </c>
      <c r="G354" s="42"/>
      <c r="H354" s="42"/>
      <c r="I354" s="33" t="s">
        <v>27</v>
      </c>
    </row>
    <row r="355" spans="3:9" ht="18" customHeight="1">
      <c r="C355" s="130" t="s">
        <v>48</v>
      </c>
      <c r="D355" s="122" t="s">
        <v>159</v>
      </c>
      <c r="E355" s="123"/>
      <c r="F355" s="34" t="s">
        <v>17</v>
      </c>
      <c r="G355" s="43"/>
      <c r="H355" s="43"/>
      <c r="I355" s="35" t="s">
        <v>22</v>
      </c>
    </row>
    <row r="356" spans="3:9" ht="21">
      <c r="C356" s="131"/>
      <c r="D356" s="124"/>
      <c r="E356" s="125"/>
      <c r="F356" s="36" t="s">
        <v>11</v>
      </c>
      <c r="G356" s="41"/>
      <c r="H356" s="41"/>
      <c r="I356" s="37" t="s">
        <v>18</v>
      </c>
    </row>
    <row r="357" spans="3:9" ht="21">
      <c r="C357" s="131"/>
      <c r="D357" s="124"/>
      <c r="E357" s="125"/>
      <c r="F357" s="36" t="s">
        <v>21</v>
      </c>
      <c r="G357" s="41"/>
      <c r="H357" s="41"/>
      <c r="I357" s="37" t="s">
        <v>16</v>
      </c>
    </row>
    <row r="358" spans="3:9" ht="21">
      <c r="C358" s="131"/>
      <c r="D358" s="124"/>
      <c r="E358" s="125"/>
      <c r="F358" s="36" t="s">
        <v>123</v>
      </c>
      <c r="G358" s="41"/>
      <c r="H358" s="41"/>
      <c r="I358" s="37" t="s">
        <v>23</v>
      </c>
    </row>
    <row r="359" spans="3:9" ht="21">
      <c r="C359" s="131"/>
      <c r="D359" s="124"/>
      <c r="E359" s="125"/>
      <c r="F359" s="36" t="s">
        <v>20</v>
      </c>
      <c r="G359" s="41"/>
      <c r="H359" s="41"/>
      <c r="I359" s="37" t="s">
        <v>15</v>
      </c>
    </row>
    <row r="360" spans="3:9" ht="21">
      <c r="C360" s="131"/>
      <c r="D360" s="124"/>
      <c r="E360" s="125"/>
      <c r="F360" s="36" t="s">
        <v>122</v>
      </c>
      <c r="G360" s="41"/>
      <c r="H360" s="41"/>
      <c r="I360" s="37" t="s">
        <v>25</v>
      </c>
    </row>
    <row r="361" spans="3:9" ht="21">
      <c r="C361" s="131"/>
      <c r="D361" s="124"/>
      <c r="E361" s="125"/>
      <c r="F361" s="36" t="s">
        <v>12</v>
      </c>
      <c r="G361" s="41"/>
      <c r="H361" s="41"/>
      <c r="I361" s="37" t="s">
        <v>19</v>
      </c>
    </row>
    <row r="362" spans="3:9" ht="21">
      <c r="C362" s="131"/>
      <c r="D362" s="124"/>
      <c r="E362" s="125"/>
      <c r="F362" s="36" t="s">
        <v>13</v>
      </c>
      <c r="G362" s="41"/>
      <c r="H362" s="41"/>
      <c r="I362" s="37" t="s">
        <v>26</v>
      </c>
    </row>
    <row r="363" spans="3:9" ht="21">
      <c r="C363" s="131"/>
      <c r="D363" s="124"/>
      <c r="E363" s="125"/>
      <c r="F363" s="36" t="s">
        <v>27</v>
      </c>
      <c r="G363" s="41"/>
      <c r="H363" s="41"/>
      <c r="I363" s="37" t="s">
        <v>14</v>
      </c>
    </row>
    <row r="364" spans="3:9" ht="21">
      <c r="C364" s="132"/>
      <c r="D364" s="126"/>
      <c r="E364" s="127"/>
      <c r="F364" s="38" t="s">
        <v>121</v>
      </c>
      <c r="G364" s="44"/>
      <c r="H364" s="44"/>
      <c r="I364" s="39" t="s">
        <v>24</v>
      </c>
    </row>
    <row r="365" spans="3:9" ht="18" customHeight="1">
      <c r="C365" s="128" t="s">
        <v>47</v>
      </c>
      <c r="D365" s="120" t="s">
        <v>160</v>
      </c>
      <c r="E365" s="121"/>
      <c r="F365" s="28" t="s">
        <v>17</v>
      </c>
      <c r="G365" s="40"/>
      <c r="H365" s="40"/>
      <c r="I365" s="29" t="s">
        <v>24</v>
      </c>
    </row>
    <row r="366" spans="3:9" ht="21">
      <c r="C366" s="128"/>
      <c r="D366" s="120"/>
      <c r="E366" s="121"/>
      <c r="F366" s="30" t="s">
        <v>22</v>
      </c>
      <c r="G366" s="41"/>
      <c r="H366" s="41"/>
      <c r="I366" s="31" t="s">
        <v>11</v>
      </c>
    </row>
    <row r="367" spans="3:9" ht="21">
      <c r="C367" s="128"/>
      <c r="D367" s="120"/>
      <c r="E367" s="121"/>
      <c r="F367" s="30" t="s">
        <v>18</v>
      </c>
      <c r="G367" s="41"/>
      <c r="H367" s="41"/>
      <c r="I367" s="31" t="s">
        <v>21</v>
      </c>
    </row>
    <row r="368" spans="3:9" ht="21">
      <c r="C368" s="128"/>
      <c r="D368" s="120"/>
      <c r="E368" s="121"/>
      <c r="F368" s="30" t="s">
        <v>16</v>
      </c>
      <c r="G368" s="41"/>
      <c r="H368" s="41"/>
      <c r="I368" s="31" t="s">
        <v>123</v>
      </c>
    </row>
    <row r="369" spans="3:9" ht="21">
      <c r="C369" s="128"/>
      <c r="D369" s="120"/>
      <c r="E369" s="121"/>
      <c r="F369" s="30" t="s">
        <v>23</v>
      </c>
      <c r="G369" s="41"/>
      <c r="H369" s="41"/>
      <c r="I369" s="31" t="s">
        <v>20</v>
      </c>
    </row>
    <row r="370" spans="3:9" ht="21">
      <c r="C370" s="128"/>
      <c r="D370" s="120"/>
      <c r="E370" s="121"/>
      <c r="F370" s="30" t="s">
        <v>15</v>
      </c>
      <c r="G370" s="41"/>
      <c r="H370" s="41"/>
      <c r="I370" s="31" t="s">
        <v>122</v>
      </c>
    </row>
    <row r="371" spans="3:9" ht="21">
      <c r="C371" s="128"/>
      <c r="D371" s="120"/>
      <c r="E371" s="121"/>
      <c r="F371" s="30" t="s">
        <v>25</v>
      </c>
      <c r="G371" s="41"/>
      <c r="H371" s="41"/>
      <c r="I371" s="31" t="s">
        <v>12</v>
      </c>
    </row>
    <row r="372" spans="3:9" ht="21">
      <c r="C372" s="128"/>
      <c r="D372" s="120"/>
      <c r="E372" s="121"/>
      <c r="F372" s="30" t="s">
        <v>19</v>
      </c>
      <c r="G372" s="41"/>
      <c r="H372" s="41"/>
      <c r="I372" s="31" t="s">
        <v>13</v>
      </c>
    </row>
    <row r="373" spans="3:9" ht="21">
      <c r="C373" s="128"/>
      <c r="D373" s="120"/>
      <c r="E373" s="121"/>
      <c r="F373" s="30" t="s">
        <v>26</v>
      </c>
      <c r="G373" s="41"/>
      <c r="H373" s="41"/>
      <c r="I373" s="31" t="s">
        <v>27</v>
      </c>
    </row>
    <row r="374" spans="3:9" ht="21">
      <c r="C374" s="129"/>
      <c r="D374" s="120"/>
      <c r="E374" s="121"/>
      <c r="F374" s="32" t="s">
        <v>14</v>
      </c>
      <c r="G374" s="42"/>
      <c r="H374" s="42"/>
      <c r="I374" s="33" t="s">
        <v>121</v>
      </c>
    </row>
    <row r="375" spans="3:9" ht="18" customHeight="1">
      <c r="C375" s="130" t="s">
        <v>46</v>
      </c>
      <c r="D375" s="122" t="s">
        <v>161</v>
      </c>
      <c r="E375" s="123"/>
      <c r="F375" s="34" t="s">
        <v>12</v>
      </c>
      <c r="G375" s="43"/>
      <c r="H375" s="43"/>
      <c r="I375" s="35" t="s">
        <v>15</v>
      </c>
    </row>
    <row r="376" spans="3:9" ht="21">
      <c r="C376" s="131"/>
      <c r="D376" s="124"/>
      <c r="E376" s="125"/>
      <c r="F376" s="36" t="s">
        <v>13</v>
      </c>
      <c r="G376" s="41"/>
      <c r="H376" s="41"/>
      <c r="I376" s="37" t="s">
        <v>25</v>
      </c>
    </row>
    <row r="377" spans="3:9" ht="21">
      <c r="C377" s="131"/>
      <c r="D377" s="124"/>
      <c r="E377" s="125"/>
      <c r="F377" s="36" t="s">
        <v>27</v>
      </c>
      <c r="G377" s="41"/>
      <c r="H377" s="41"/>
      <c r="I377" s="37" t="s">
        <v>19</v>
      </c>
    </row>
    <row r="378" spans="3:9" ht="21">
      <c r="C378" s="131"/>
      <c r="D378" s="124"/>
      <c r="E378" s="125"/>
      <c r="F378" s="36" t="s">
        <v>121</v>
      </c>
      <c r="G378" s="41"/>
      <c r="H378" s="41"/>
      <c r="I378" s="37" t="s">
        <v>26</v>
      </c>
    </row>
    <row r="379" spans="3:9" ht="21">
      <c r="C379" s="131"/>
      <c r="D379" s="124"/>
      <c r="E379" s="125"/>
      <c r="F379" s="36" t="s">
        <v>11</v>
      </c>
      <c r="G379" s="41"/>
      <c r="H379" s="41"/>
      <c r="I379" s="37" t="s">
        <v>17</v>
      </c>
    </row>
    <row r="380" spans="3:9" ht="21">
      <c r="C380" s="131"/>
      <c r="D380" s="124"/>
      <c r="E380" s="125"/>
      <c r="F380" s="36" t="s">
        <v>21</v>
      </c>
      <c r="G380" s="41"/>
      <c r="H380" s="41"/>
      <c r="I380" s="37" t="s">
        <v>22</v>
      </c>
    </row>
    <row r="381" spans="3:9" ht="21">
      <c r="C381" s="131"/>
      <c r="D381" s="124"/>
      <c r="E381" s="125"/>
      <c r="F381" s="36" t="s">
        <v>123</v>
      </c>
      <c r="G381" s="41"/>
      <c r="H381" s="41"/>
      <c r="I381" s="37" t="s">
        <v>18</v>
      </c>
    </row>
    <row r="382" spans="3:9" ht="21">
      <c r="C382" s="131"/>
      <c r="D382" s="124"/>
      <c r="E382" s="125"/>
      <c r="F382" s="36" t="s">
        <v>20</v>
      </c>
      <c r="G382" s="41"/>
      <c r="H382" s="41"/>
      <c r="I382" s="37" t="s">
        <v>16</v>
      </c>
    </row>
    <row r="383" spans="3:9" ht="21">
      <c r="C383" s="131"/>
      <c r="D383" s="124"/>
      <c r="E383" s="125"/>
      <c r="F383" s="36" t="s">
        <v>122</v>
      </c>
      <c r="G383" s="41"/>
      <c r="H383" s="41"/>
      <c r="I383" s="37" t="s">
        <v>23</v>
      </c>
    </row>
    <row r="384" spans="3:9" ht="21">
      <c r="C384" s="132"/>
      <c r="D384" s="126"/>
      <c r="E384" s="127"/>
      <c r="F384" s="38" t="s">
        <v>24</v>
      </c>
      <c r="G384" s="44"/>
      <c r="H384" s="44"/>
      <c r="I384" s="39" t="s">
        <v>14</v>
      </c>
    </row>
  </sheetData>
  <sheetProtection password="F0CA" sheet="1" selectLockedCells="1"/>
  <mergeCells count="79">
    <mergeCell ref="C375:C384"/>
    <mergeCell ref="D375:E384"/>
    <mergeCell ref="C325:C334"/>
    <mergeCell ref="D325:E334"/>
    <mergeCell ref="C335:C344"/>
    <mergeCell ref="D335:E344"/>
    <mergeCell ref="C345:C354"/>
    <mergeCell ref="D345:E354"/>
    <mergeCell ref="C355:C364"/>
    <mergeCell ref="D355:E364"/>
    <mergeCell ref="C365:C374"/>
    <mergeCell ref="D365:E374"/>
    <mergeCell ref="D285:E294"/>
    <mergeCell ref="C235:C244"/>
    <mergeCell ref="D235:E244"/>
    <mergeCell ref="C245:C254"/>
    <mergeCell ref="D245:E254"/>
    <mergeCell ref="C255:C264"/>
    <mergeCell ref="D255:E264"/>
    <mergeCell ref="C265:C274"/>
    <mergeCell ref="C295:C304"/>
    <mergeCell ref="D295:E304"/>
    <mergeCell ref="C305:C314"/>
    <mergeCell ref="D305:E314"/>
    <mergeCell ref="C315:C324"/>
    <mergeCell ref="D315:E324"/>
    <mergeCell ref="D265:E274"/>
    <mergeCell ref="C275:C284"/>
    <mergeCell ref="D275:E284"/>
    <mergeCell ref="C285:C294"/>
    <mergeCell ref="C205:C214"/>
    <mergeCell ref="D205:E214"/>
    <mergeCell ref="C215:C224"/>
    <mergeCell ref="D215:E224"/>
    <mergeCell ref="C225:C234"/>
    <mergeCell ref="D225:E234"/>
    <mergeCell ref="C195:C204"/>
    <mergeCell ref="D195:E204"/>
    <mergeCell ref="C173:C182"/>
    <mergeCell ref="D173:E182"/>
    <mergeCell ref="C183:C192"/>
    <mergeCell ref="D183:E192"/>
    <mergeCell ref="F193:F194"/>
    <mergeCell ref="C133:C142"/>
    <mergeCell ref="D133:E142"/>
    <mergeCell ref="C143:C152"/>
    <mergeCell ref="D143:E152"/>
    <mergeCell ref="C153:C162"/>
    <mergeCell ref="D153:E162"/>
    <mergeCell ref="C163:C172"/>
    <mergeCell ref="D163:E172"/>
    <mergeCell ref="C103:C112"/>
    <mergeCell ref="D103:E112"/>
    <mergeCell ref="C113:C122"/>
    <mergeCell ref="D113:E122"/>
    <mergeCell ref="C123:C132"/>
    <mergeCell ref="D123:E132"/>
    <mergeCell ref="C73:C82"/>
    <mergeCell ref="D73:E82"/>
    <mergeCell ref="C83:C92"/>
    <mergeCell ref="D83:E92"/>
    <mergeCell ref="C93:C102"/>
    <mergeCell ref="D93:E102"/>
    <mergeCell ref="F2:I2"/>
    <mergeCell ref="D2:E2"/>
    <mergeCell ref="C63:C72"/>
    <mergeCell ref="D63:E72"/>
    <mergeCell ref="C33:C42"/>
    <mergeCell ref="D33:E42"/>
    <mergeCell ref="C43:C52"/>
    <mergeCell ref="D43:E52"/>
    <mergeCell ref="C53:C62"/>
    <mergeCell ref="D53:E62"/>
    <mergeCell ref="D3:E12"/>
    <mergeCell ref="D13:E22"/>
    <mergeCell ref="C3:C12"/>
    <mergeCell ref="C13:C22"/>
    <mergeCell ref="C23:C32"/>
    <mergeCell ref="D23:E32"/>
  </mergeCells>
  <phoneticPr fontId="1" type="noConversion"/>
  <conditionalFormatting sqref="F3:F384">
    <cfRule type="expression" dxfId="1" priority="2">
      <formula>G3&gt;H3</formula>
    </cfRule>
  </conditionalFormatting>
  <conditionalFormatting sqref="I3:I384">
    <cfRule type="expression" dxfId="0" priority="1">
      <formula>H3&gt;G3</formula>
    </cfRule>
  </conditionalFormatting>
  <dataValidations count="1">
    <dataValidation type="whole" allowBlank="1" showInputMessage="1" showErrorMessage="1" errorTitle="تحذير" error="النتيجة المدخلة غير مقبولة ، يجب ان تكون النتيجة بين 0  -  30" sqref="G3:H192 G195:H384">
      <formula1>0</formula1>
      <formula2>30</formula2>
    </dataValidation>
  </dataValidations>
  <pageMargins left="0.75" right="0.75" top="1" bottom="1" header="0.5" footer="0.5"/>
  <pageSetup orientation="portrait" verticalDpi="0" r:id="rId1"/>
  <headerFooter alignWithMargins="0"/>
  <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L27"/>
  <sheetViews>
    <sheetView rightToLeft="1" workbookViewId="0">
      <selection activeCell="C1" sqref="C1"/>
    </sheetView>
  </sheetViews>
  <sheetFormatPr defaultRowHeight="12.75"/>
  <cols>
    <col min="1" max="1" width="9.140625" style="23"/>
    <col min="2" max="2" width="7.7109375" style="23" customWidth="1"/>
    <col min="3" max="3" width="15.28515625" style="22" customWidth="1"/>
    <col min="4" max="27" width="4.7109375" style="23" customWidth="1"/>
    <col min="28" max="28" width="11.140625" style="23" customWidth="1"/>
    <col min="29" max="30" width="4.7109375" style="23" customWidth="1"/>
    <col min="31" max="31" width="4.7109375" style="22" customWidth="1"/>
    <col min="32" max="33" width="9.140625" style="23"/>
    <col min="34" max="38" width="4.85546875" style="23" customWidth="1"/>
    <col min="39" max="16384" width="9.140625" style="23"/>
  </cols>
  <sheetData>
    <row r="1" spans="2:38">
      <c r="B1" s="22" t="s">
        <v>96</v>
      </c>
      <c r="C1" s="22">
        <v>210</v>
      </c>
    </row>
    <row r="2" spans="2:38">
      <c r="B2" s="22" t="s">
        <v>70</v>
      </c>
      <c r="C2" s="22">
        <v>20</v>
      </c>
      <c r="D2" s="22">
        <f>(C2-1)*(C2/2)</f>
        <v>190</v>
      </c>
    </row>
    <row r="3" spans="2:38" s="100" customFormat="1" ht="15">
      <c r="B3" s="98"/>
      <c r="C3" s="99"/>
      <c r="D3" s="138" t="s">
        <v>2</v>
      </c>
      <c r="E3" s="138" t="s">
        <v>71</v>
      </c>
      <c r="F3" s="138" t="s">
        <v>3</v>
      </c>
      <c r="G3" s="138" t="s">
        <v>4</v>
      </c>
      <c r="H3" s="138" t="s">
        <v>72</v>
      </c>
      <c r="I3" s="138" t="s">
        <v>5</v>
      </c>
      <c r="J3" s="138" t="s">
        <v>6</v>
      </c>
      <c r="K3" s="138" t="s">
        <v>73</v>
      </c>
      <c r="L3" s="138" t="s">
        <v>67</v>
      </c>
      <c r="M3" s="141" t="s">
        <v>74</v>
      </c>
      <c r="N3" s="141"/>
      <c r="O3" s="141"/>
      <c r="P3" s="141"/>
      <c r="Q3" s="141"/>
      <c r="R3" s="141"/>
      <c r="S3" s="141"/>
      <c r="T3" s="141"/>
      <c r="U3" s="141"/>
      <c r="V3" s="141" t="s">
        <v>75</v>
      </c>
      <c r="W3" s="141"/>
      <c r="X3" s="141"/>
      <c r="Y3" s="141"/>
      <c r="Z3" s="141"/>
      <c r="AA3" s="141"/>
      <c r="AB3" s="141"/>
      <c r="AC3" s="141"/>
      <c r="AD3" s="141"/>
      <c r="AE3" s="99"/>
      <c r="AF3" s="99"/>
      <c r="AG3" s="99"/>
    </row>
    <row r="4" spans="2:38" s="100" customFormat="1" ht="15">
      <c r="B4" s="98" t="s">
        <v>1</v>
      </c>
      <c r="C4" s="98" t="s">
        <v>65</v>
      </c>
      <c r="D4" s="138"/>
      <c r="E4" s="138"/>
      <c r="F4" s="138"/>
      <c r="G4" s="138"/>
      <c r="H4" s="138"/>
      <c r="I4" s="138"/>
      <c r="J4" s="138"/>
      <c r="K4" s="138" t="s">
        <v>73</v>
      </c>
      <c r="L4" s="138" t="s">
        <v>67</v>
      </c>
      <c r="M4" s="99" t="s">
        <v>2</v>
      </c>
      <c r="N4" s="99" t="s">
        <v>71</v>
      </c>
      <c r="O4" s="99" t="s">
        <v>3</v>
      </c>
      <c r="P4" s="99" t="s">
        <v>4</v>
      </c>
      <c r="Q4" s="99" t="s">
        <v>72</v>
      </c>
      <c r="R4" s="99" t="s">
        <v>5</v>
      </c>
      <c r="S4" s="99" t="s">
        <v>6</v>
      </c>
      <c r="T4" s="99" t="s">
        <v>73</v>
      </c>
      <c r="U4" s="99" t="s">
        <v>67</v>
      </c>
      <c r="V4" s="99" t="s">
        <v>2</v>
      </c>
      <c r="W4" s="99" t="s">
        <v>71</v>
      </c>
      <c r="X4" s="99" t="s">
        <v>3</v>
      </c>
      <c r="Y4" s="99" t="s">
        <v>4</v>
      </c>
      <c r="Z4" s="99" t="s">
        <v>72</v>
      </c>
      <c r="AA4" s="99" t="s">
        <v>5</v>
      </c>
      <c r="AB4" s="99" t="s">
        <v>6</v>
      </c>
      <c r="AC4" s="99" t="s">
        <v>73</v>
      </c>
      <c r="AD4" s="99" t="s">
        <v>67</v>
      </c>
      <c r="AE4" s="99" t="s">
        <v>66</v>
      </c>
      <c r="AF4" s="99"/>
      <c r="AG4" s="99"/>
      <c r="AH4" s="99"/>
      <c r="AI4" s="99"/>
      <c r="AJ4" s="99"/>
      <c r="AK4" s="99"/>
      <c r="AL4" s="99"/>
    </row>
    <row r="5" spans="2:38" s="100" customFormat="1" ht="15">
      <c r="B5" s="98">
        <v>1</v>
      </c>
      <c r="C5" s="98" t="s">
        <v>11</v>
      </c>
      <c r="D5" s="99">
        <f>M5+V5</f>
        <v>30</v>
      </c>
      <c r="E5" s="99">
        <f t="shared" ref="E5:K16" si="0">N5+W5</f>
        <v>8</v>
      </c>
      <c r="F5" s="99">
        <f t="shared" si="0"/>
        <v>23</v>
      </c>
      <c r="G5" s="99">
        <f t="shared" si="0"/>
        <v>4</v>
      </c>
      <c r="H5" s="99">
        <f t="shared" si="0"/>
        <v>3</v>
      </c>
      <c r="I5" s="99">
        <f t="shared" si="0"/>
        <v>69</v>
      </c>
      <c r="J5" s="99">
        <f t="shared" si="0"/>
        <v>22</v>
      </c>
      <c r="K5" s="99">
        <f t="shared" si="0"/>
        <v>47</v>
      </c>
      <c r="L5" s="101">
        <f>U5+AD5-خصم!$H5</f>
        <v>73</v>
      </c>
      <c r="M5" s="102">
        <f>SUMPRODUCT((جدول_المباريات!F$3:F$384=C5)*(جدول_المباريات!G$3:G$384&lt;&gt;""))</f>
        <v>15</v>
      </c>
      <c r="N5" s="99">
        <f>SUMPRODUCT((جدول_المباريات!F$3:F$384=C5)*(جدول_المباريات!G$3:G$384=""))</f>
        <v>4</v>
      </c>
      <c r="O5" s="102">
        <f>SUMPRODUCT((جدول_المباريات!F$3:F$384=C5)*(جدول_المباريات!G$3:G$384&gt;جدول_المباريات!H$3:H$384))</f>
        <v>14</v>
      </c>
      <c r="P5" s="102">
        <f>SUMPRODUCT((جدول_المباريات!F$3:F$384=C5)*(جدول_المباريات!G$3:G$384=جدول_المباريات!H$3:H$384)*(جدول_المباريات!G$3:G$384&lt;&gt;""))</f>
        <v>0</v>
      </c>
      <c r="Q5" s="102">
        <f>SUMPRODUCT((جدول_المباريات!F$3:F$384=C5)*(جدول_المباريات!G$3:G$384&lt;جدول_المباريات!H$3:H$384))</f>
        <v>1</v>
      </c>
      <c r="R5" s="102">
        <f>SUMIF(جدول_المباريات!F$3:F$384,C5,جدول_المباريات!G$3:G$384)</f>
        <v>46</v>
      </c>
      <c r="S5" s="102">
        <f>SUMIF(جدول_المباريات!F$3:F$384,C5,جدول_المباريات!H$3:H$384)</f>
        <v>7</v>
      </c>
      <c r="T5" s="99">
        <f>R5-S5</f>
        <v>39</v>
      </c>
      <c r="U5" s="99">
        <f>O5*3+P5*1</f>
        <v>42</v>
      </c>
      <c r="V5" s="99">
        <f>SUMPRODUCT((جدول_المباريات!I$3:I$384=C5)*(جدول_المباريات!H$3:H$384&lt;&gt;""))</f>
        <v>15</v>
      </c>
      <c r="W5" s="99">
        <f>SUMPRODUCT((جدول_المباريات!I$3:I$384=C5)*(جدول_المباريات!H$3:H$384=""))</f>
        <v>4</v>
      </c>
      <c r="X5" s="102">
        <f>SUMPRODUCT((جدول_المباريات!I$3:I$384=C5)*(جدول_المباريات!H$3:H$384&gt;جدول_المباريات!G$3:G$384))</f>
        <v>9</v>
      </c>
      <c r="Y5" s="99">
        <f>SUMPRODUCT((جدول_المباريات!I$3:I$384=C5)*(جدول_المباريات!H$3:H$384=جدول_المباريات!G$3:G$384)*(جدول_المباريات!H$3:H$384&lt;&gt;""))</f>
        <v>4</v>
      </c>
      <c r="Z5" s="99">
        <f>SUMPRODUCT((جدول_المباريات!I$3:I$384=C5)*(جدول_المباريات!H$3:H$384&lt;جدول_المباريات!G$3:G$384))</f>
        <v>2</v>
      </c>
      <c r="AA5" s="99">
        <f>SUMIF(جدول_المباريات!I$3:I$384,C5,جدول_المباريات!H$3:H$384)</f>
        <v>23</v>
      </c>
      <c r="AB5" s="99">
        <f>SUMIF(جدول_المباريات!I$3:I$384,C5,جدول_المباريات!G$3:G$384)</f>
        <v>15</v>
      </c>
      <c r="AC5" s="99">
        <f>AA5-AB5</f>
        <v>8</v>
      </c>
      <c r="AD5" s="99">
        <f>X5*3+Y5*1</f>
        <v>31</v>
      </c>
      <c r="AE5" s="99">
        <f>RANK(K5,$K$5:$K$24,1)</f>
        <v>19</v>
      </c>
      <c r="AF5" s="99">
        <f>(L5*1000000)+(AE5*10000)+(I5*1000)+(D5*100)</f>
        <v>73262000</v>
      </c>
      <c r="AG5" s="99">
        <f>RANK(AF5,$AF$5:$AF$24,0)</f>
        <v>2</v>
      </c>
      <c r="AH5" s="100">
        <f>RANK(I5,$I$5:$I$24,0)+COUNTIF($I$5:I5,I5)-1</f>
        <v>2</v>
      </c>
      <c r="AI5" s="100">
        <f>RANK(J5,$J$5:$J$24,1)+COUNTIF($J$5:J5,J5)-1</f>
        <v>2</v>
      </c>
      <c r="AJ5" s="100">
        <f>RANK(F5,$F$5:$F$24,0)+COUNTIF($F$5:F5,F5)-1</f>
        <v>2</v>
      </c>
      <c r="AK5" s="100">
        <f>RANK(G5,$G$5:$G$24,0)+COUNTIF($G$5:G5,G5)-1</f>
        <v>16</v>
      </c>
      <c r="AL5" s="100">
        <f>RANK(H5,$H$5:$H$24,0)+COUNTIF($H$5:H5,H5)-1</f>
        <v>19</v>
      </c>
    </row>
    <row r="6" spans="2:38" s="100" customFormat="1" ht="15">
      <c r="B6" s="98">
        <v>2</v>
      </c>
      <c r="C6" s="98" t="s">
        <v>25</v>
      </c>
      <c r="D6" s="99">
        <f t="shared" ref="D6:D16" si="1">M6+V6</f>
        <v>30</v>
      </c>
      <c r="E6" s="99">
        <f t="shared" si="0"/>
        <v>8</v>
      </c>
      <c r="F6" s="99">
        <f t="shared" si="0"/>
        <v>26</v>
      </c>
      <c r="G6" s="99">
        <f t="shared" si="0"/>
        <v>3</v>
      </c>
      <c r="H6" s="99">
        <f t="shared" si="0"/>
        <v>1</v>
      </c>
      <c r="I6" s="99">
        <f t="shared" si="0"/>
        <v>79</v>
      </c>
      <c r="J6" s="99">
        <f t="shared" si="0"/>
        <v>15</v>
      </c>
      <c r="K6" s="99">
        <f t="shared" si="0"/>
        <v>64</v>
      </c>
      <c r="L6" s="101">
        <f>U6+AD6-خصم!$H6</f>
        <v>81</v>
      </c>
      <c r="M6" s="102">
        <f>SUMPRODUCT((جدول_المباريات!F$3:F$384=C6)*(جدول_المباريات!G$3:G$384&lt;&gt;""))</f>
        <v>15</v>
      </c>
      <c r="N6" s="99">
        <f>SUMPRODUCT((جدول_المباريات!F$3:F$384=C6)*(جدول_المباريات!G$3:G$384=""))</f>
        <v>4</v>
      </c>
      <c r="O6" s="102">
        <f>SUMPRODUCT((جدول_المباريات!F$3:F$384=C6)*(جدول_المباريات!G$3:G$384&gt;جدول_المباريات!H$3:H$384))</f>
        <v>13</v>
      </c>
      <c r="P6" s="102">
        <f>SUMPRODUCT((جدول_المباريات!F$3:F$384=C6)*(جدول_المباريات!G$3:G$384=جدول_المباريات!H$3:H$384)*(جدول_المباريات!G$3:G$384&lt;&gt;""))</f>
        <v>1</v>
      </c>
      <c r="Q6" s="102">
        <f>SUMPRODUCT((جدول_المباريات!F$3:F$384=C6)*(جدول_المباريات!G$3:G$384&lt;جدول_المباريات!H$3:H$384))</f>
        <v>1</v>
      </c>
      <c r="R6" s="102">
        <f>SUMIF(جدول_المباريات!F$3:F$384,C6,جدول_المباريات!G$3:G$384)</f>
        <v>36</v>
      </c>
      <c r="S6" s="102">
        <f>SUMIF(جدول_المباريات!F$3:F$384,C6,جدول_المباريات!H$3:H$384)</f>
        <v>9</v>
      </c>
      <c r="T6" s="99">
        <f t="shared" ref="T6:T24" si="2">R6-S6</f>
        <v>27</v>
      </c>
      <c r="U6" s="99">
        <f t="shared" ref="U6:U24" si="3">O6*3+P6*1</f>
        <v>40</v>
      </c>
      <c r="V6" s="99">
        <f>SUMPRODUCT((جدول_المباريات!I$3:I$384=C6)*(جدول_المباريات!H$3:H$384&lt;&gt;""))</f>
        <v>15</v>
      </c>
      <c r="W6" s="99">
        <f>SUMPRODUCT((جدول_المباريات!I$3:I$384=C6)*(جدول_المباريات!H$3:H$384=""))</f>
        <v>4</v>
      </c>
      <c r="X6" s="102">
        <f>SUMPRODUCT((جدول_المباريات!I$3:I$384=C6)*(جدول_المباريات!H$3:H$384&gt;جدول_المباريات!G$3:G$384))</f>
        <v>13</v>
      </c>
      <c r="Y6" s="99">
        <f>SUMPRODUCT((جدول_المباريات!I$3:I$384=C6)*(جدول_المباريات!H$3:H$384=جدول_المباريات!G$3:G$384)*(جدول_المباريات!H$3:H$384&lt;&gt;""))</f>
        <v>2</v>
      </c>
      <c r="Z6" s="99">
        <f>SUMPRODUCT((جدول_المباريات!I$3:I$384=C6)*(جدول_المباريات!H$3:H$384&lt;جدول_المباريات!G$3:G$384))</f>
        <v>0</v>
      </c>
      <c r="AA6" s="99">
        <f>SUMIF(جدول_المباريات!I$3:I$384,C6,جدول_المباريات!H$3:H$384)</f>
        <v>43</v>
      </c>
      <c r="AB6" s="99">
        <f>SUMIF(جدول_المباريات!I$3:I$384,C6,جدول_المباريات!G$3:G$384)</f>
        <v>6</v>
      </c>
      <c r="AC6" s="99">
        <f t="shared" ref="AC6:AC24" si="4">AA6-AB6</f>
        <v>37</v>
      </c>
      <c r="AD6" s="99">
        <f t="shared" ref="AD6:AD24" si="5">X6*3+Y6*1</f>
        <v>41</v>
      </c>
      <c r="AE6" s="99">
        <f t="shared" ref="AE6:AE24" si="6">RANK(K6,$K$5:$K$24,1)</f>
        <v>20</v>
      </c>
      <c r="AF6" s="99">
        <f>(L6*1000000)+(AE6*10000)+(I6*1000)+(D6*99)</f>
        <v>81281970</v>
      </c>
      <c r="AG6" s="99">
        <f t="shared" ref="AG6:AG24" si="7">RANK(AF6,$AF$5:$AF$24,0)</f>
        <v>1</v>
      </c>
      <c r="AH6" s="100">
        <f>RANK(I6,$I$5:$I$24,0)+COUNTIF($I$5:I6,I6)-1</f>
        <v>1</v>
      </c>
      <c r="AI6" s="100">
        <f>RANK(J6,$J$5:$J$24,1)+COUNTIF($J$5:J6,J6)-1</f>
        <v>1</v>
      </c>
      <c r="AJ6" s="100">
        <f>RANK(F6,$F$5:$F$24,0)+COUNTIF($F$5:F6,F6)-1</f>
        <v>1</v>
      </c>
      <c r="AK6" s="100">
        <f>RANK(G6,$G$5:$G$24,0)+COUNTIF($G$5:G6,G6)-1</f>
        <v>17</v>
      </c>
      <c r="AL6" s="100">
        <f>RANK(H6,$H$5:$H$24,0)+COUNTIF($H$5:H6,H6)-1</f>
        <v>20</v>
      </c>
    </row>
    <row r="7" spans="2:38" s="100" customFormat="1" ht="15">
      <c r="B7" s="98">
        <v>3</v>
      </c>
      <c r="C7" s="98" t="s">
        <v>15</v>
      </c>
      <c r="D7" s="99">
        <f t="shared" si="1"/>
        <v>30</v>
      </c>
      <c r="E7" s="99">
        <f t="shared" si="0"/>
        <v>8</v>
      </c>
      <c r="F7" s="99">
        <f t="shared" si="0"/>
        <v>17</v>
      </c>
      <c r="G7" s="99">
        <f t="shared" si="0"/>
        <v>6</v>
      </c>
      <c r="H7" s="99">
        <f t="shared" si="0"/>
        <v>7</v>
      </c>
      <c r="I7" s="99">
        <f t="shared" si="0"/>
        <v>46</v>
      </c>
      <c r="J7" s="99">
        <f t="shared" si="0"/>
        <v>35</v>
      </c>
      <c r="K7" s="99">
        <f t="shared" si="0"/>
        <v>11</v>
      </c>
      <c r="L7" s="101">
        <f>U7+AD7-خصم!$H7</f>
        <v>57</v>
      </c>
      <c r="M7" s="102">
        <f>SUMPRODUCT((جدول_المباريات!F$3:F$384=C7)*(جدول_المباريات!G$3:G$384&lt;&gt;""))</f>
        <v>15</v>
      </c>
      <c r="N7" s="99">
        <f>SUMPRODUCT((جدول_المباريات!F$3:F$384=C7)*(جدول_المباريات!G$3:G$384=""))</f>
        <v>4</v>
      </c>
      <c r="O7" s="102">
        <f>SUMPRODUCT((جدول_المباريات!F$3:F$384=C7)*(جدول_المباريات!G$3:G$384&gt;جدول_المباريات!H$3:H$384))</f>
        <v>8</v>
      </c>
      <c r="P7" s="102">
        <f>SUMPRODUCT((جدول_المباريات!F$3:F$384=C7)*(جدول_المباريات!G$3:G$384=جدول_المباريات!H$3:H$384)*(جدول_المباريات!G$3:G$384&lt;&gt;""))</f>
        <v>4</v>
      </c>
      <c r="Q7" s="102">
        <f>SUMPRODUCT((جدول_المباريات!F$3:F$384=C7)*(جدول_المباريات!G$3:G$384&lt;جدول_المباريات!H$3:H$384))</f>
        <v>3</v>
      </c>
      <c r="R7" s="102">
        <f>SUMIF(جدول_المباريات!F$3:F$384,C7,جدول_المباريات!G$3:G$384)</f>
        <v>23</v>
      </c>
      <c r="S7" s="102">
        <f>SUMIF(جدول_المباريات!F$3:F$384,C7,جدول_المباريات!H$3:H$384)</f>
        <v>15</v>
      </c>
      <c r="T7" s="99">
        <f t="shared" si="2"/>
        <v>8</v>
      </c>
      <c r="U7" s="99">
        <f t="shared" si="3"/>
        <v>28</v>
      </c>
      <c r="V7" s="99">
        <f>SUMPRODUCT((جدول_المباريات!I$3:I$384=C7)*(جدول_المباريات!H$3:H$384&lt;&gt;""))</f>
        <v>15</v>
      </c>
      <c r="W7" s="99">
        <f>SUMPRODUCT((جدول_المباريات!I$3:I$384=C7)*(جدول_المباريات!H$3:H$384=""))</f>
        <v>4</v>
      </c>
      <c r="X7" s="102">
        <f>SUMPRODUCT((جدول_المباريات!I$3:I$384=C7)*(جدول_المباريات!H$3:H$384&gt;جدول_المباريات!G$3:G$384))</f>
        <v>9</v>
      </c>
      <c r="Y7" s="99">
        <f>SUMPRODUCT((جدول_المباريات!I$3:I$384=C7)*(جدول_المباريات!H$3:H$384=جدول_المباريات!G$3:G$384)*(جدول_المباريات!H$3:H$384&lt;&gt;""))</f>
        <v>2</v>
      </c>
      <c r="Z7" s="99">
        <f>SUMPRODUCT((جدول_المباريات!I$3:I$384=C7)*(جدول_المباريات!H$3:H$384&lt;جدول_المباريات!G$3:G$384))</f>
        <v>4</v>
      </c>
      <c r="AA7" s="99">
        <f>SUMIF(جدول_المباريات!I$3:I$384,C7,جدول_المباريات!H$3:H$384)</f>
        <v>23</v>
      </c>
      <c r="AB7" s="99">
        <f>SUMIF(جدول_المباريات!I$3:I$384,C7,جدول_المباريات!G$3:G$384)</f>
        <v>20</v>
      </c>
      <c r="AC7" s="99">
        <f t="shared" si="4"/>
        <v>3</v>
      </c>
      <c r="AD7" s="99">
        <f t="shared" si="5"/>
        <v>29</v>
      </c>
      <c r="AE7" s="99">
        <f t="shared" si="6"/>
        <v>17</v>
      </c>
      <c r="AF7" s="99">
        <f>(L7*1000000)+(AE7*10000)+(I7*1000)+(D7*98)</f>
        <v>57218940</v>
      </c>
      <c r="AG7" s="99">
        <f t="shared" si="7"/>
        <v>3</v>
      </c>
      <c r="AH7" s="100">
        <f>RANK(I7,$I$5:$I$24,0)+COUNTIF($I$5:I7,I7)-1</f>
        <v>5</v>
      </c>
      <c r="AI7" s="100">
        <f>RANK(J7,$J$5:$J$24,1)+COUNTIF($J$5:J7,J7)-1</f>
        <v>4</v>
      </c>
      <c r="AJ7" s="100">
        <f>RANK(F7,$F$5:$F$24,0)+COUNTIF($F$5:F7,F7)-1</f>
        <v>3</v>
      </c>
      <c r="AK7" s="100">
        <f>RANK(G7,$G$5:$G$24,0)+COUNTIF($G$5:G7,G7)-1</f>
        <v>8</v>
      </c>
      <c r="AL7" s="100">
        <f>RANK(H7,$H$5:$H$24,0)+COUNTIF($H$5:H7,H7)-1</f>
        <v>18</v>
      </c>
    </row>
    <row r="8" spans="2:38" s="100" customFormat="1" ht="15">
      <c r="B8" s="98">
        <v>4</v>
      </c>
      <c r="C8" s="98" t="s">
        <v>14</v>
      </c>
      <c r="D8" s="99">
        <f t="shared" si="1"/>
        <v>30</v>
      </c>
      <c r="E8" s="99">
        <f t="shared" si="0"/>
        <v>8</v>
      </c>
      <c r="F8" s="99">
        <f t="shared" si="0"/>
        <v>12</v>
      </c>
      <c r="G8" s="99">
        <f t="shared" si="0"/>
        <v>6</v>
      </c>
      <c r="H8" s="99">
        <f t="shared" si="0"/>
        <v>12</v>
      </c>
      <c r="I8" s="99">
        <f t="shared" si="0"/>
        <v>45</v>
      </c>
      <c r="J8" s="99">
        <f t="shared" si="0"/>
        <v>41</v>
      </c>
      <c r="K8" s="99">
        <f t="shared" si="0"/>
        <v>4</v>
      </c>
      <c r="L8" s="101">
        <f>U8+AD8-خصم!$H8</f>
        <v>42</v>
      </c>
      <c r="M8" s="102">
        <f>SUMPRODUCT((جدول_المباريات!F$3:F$384=C8)*(جدول_المباريات!G$3:G$384&lt;&gt;""))</f>
        <v>15</v>
      </c>
      <c r="N8" s="99">
        <f>SUMPRODUCT((جدول_المباريات!F$3:F$384=C8)*(جدول_المباريات!G$3:G$384=""))</f>
        <v>4</v>
      </c>
      <c r="O8" s="102">
        <f>SUMPRODUCT((جدول_المباريات!F$3:F$384=C8)*(جدول_المباريات!G$3:G$384&gt;جدول_المباريات!H$3:H$384))</f>
        <v>7</v>
      </c>
      <c r="P8" s="102">
        <f>SUMPRODUCT((جدول_المباريات!F$3:F$384=C8)*(جدول_المباريات!G$3:G$384=جدول_المباريات!H$3:H$384)*(جدول_المباريات!G$3:G$384&lt;&gt;""))</f>
        <v>3</v>
      </c>
      <c r="Q8" s="102">
        <f>SUMPRODUCT((جدول_المباريات!F$3:F$384=C8)*(جدول_المباريات!G$3:G$384&lt;جدول_المباريات!H$3:H$384))</f>
        <v>5</v>
      </c>
      <c r="R8" s="102">
        <f>SUMIF(جدول_المباريات!F$3:F$384,C8,جدول_المباريات!G$3:G$384)</f>
        <v>26</v>
      </c>
      <c r="S8" s="102">
        <f>SUMIF(جدول_المباريات!F$3:F$384,C8,جدول_المباريات!H$3:H$384)</f>
        <v>15</v>
      </c>
      <c r="T8" s="99">
        <f t="shared" si="2"/>
        <v>11</v>
      </c>
      <c r="U8" s="99">
        <f t="shared" si="3"/>
        <v>24</v>
      </c>
      <c r="V8" s="99">
        <f>SUMPRODUCT((جدول_المباريات!I$3:I$384=C8)*(جدول_المباريات!H$3:H$384&lt;&gt;""))</f>
        <v>15</v>
      </c>
      <c r="W8" s="99">
        <f>SUMPRODUCT((جدول_المباريات!I$3:I$384=C8)*(جدول_المباريات!H$3:H$384=""))</f>
        <v>4</v>
      </c>
      <c r="X8" s="102">
        <f>SUMPRODUCT((جدول_المباريات!I$3:I$384=C8)*(جدول_المباريات!H$3:H$384&gt;جدول_المباريات!G$3:G$384))</f>
        <v>5</v>
      </c>
      <c r="Y8" s="99">
        <f>SUMPRODUCT((جدول_المباريات!I$3:I$384=C8)*(جدول_المباريات!H$3:H$384=جدول_المباريات!G$3:G$384)*(جدول_المباريات!H$3:H$384&lt;&gt;""))</f>
        <v>3</v>
      </c>
      <c r="Z8" s="99">
        <f>SUMPRODUCT((جدول_المباريات!I$3:I$384=C8)*(جدول_المباريات!H$3:H$384&lt;جدول_المباريات!G$3:G$384))</f>
        <v>7</v>
      </c>
      <c r="AA8" s="99">
        <f>SUMIF(جدول_المباريات!I$3:I$384,C8,جدول_المباريات!H$3:H$384)</f>
        <v>19</v>
      </c>
      <c r="AB8" s="99">
        <f>SUMIF(جدول_المباريات!I$3:I$384,C8,جدول_المباريات!G$3:G$384)</f>
        <v>26</v>
      </c>
      <c r="AC8" s="99">
        <f t="shared" si="4"/>
        <v>-7</v>
      </c>
      <c r="AD8" s="99">
        <f t="shared" si="5"/>
        <v>18</v>
      </c>
      <c r="AE8" s="99">
        <f t="shared" si="6"/>
        <v>15</v>
      </c>
      <c r="AF8" s="99">
        <f>(L8*1000000)+(AE8*10000)+(I8*1000)+(D8*97)</f>
        <v>42197910</v>
      </c>
      <c r="AG8" s="99">
        <f t="shared" si="7"/>
        <v>8</v>
      </c>
      <c r="AH8" s="100">
        <f>RANK(I8,$I$5:$I$24,0)+COUNTIF($I$5:I8,I8)-1</f>
        <v>7</v>
      </c>
      <c r="AI8" s="100">
        <f>RANK(J8,$J$5:$J$24,1)+COUNTIF($J$5:J8,J8)-1</f>
        <v>10</v>
      </c>
      <c r="AJ8" s="100">
        <f>RANK(F8,$F$5:$F$24,0)+COUNTIF($F$5:F8,F8)-1</f>
        <v>8</v>
      </c>
      <c r="AK8" s="100">
        <f>RANK(G8,$G$5:$G$24,0)+COUNTIF($G$5:G8,G8)-1</f>
        <v>9</v>
      </c>
      <c r="AL8" s="100">
        <f>RANK(H8,$H$5:$H$24,0)+COUNTIF($H$5:H8,H8)-1</f>
        <v>12</v>
      </c>
    </row>
    <row r="9" spans="2:38" s="100" customFormat="1" ht="15">
      <c r="B9" s="98">
        <v>5</v>
      </c>
      <c r="C9" s="98" t="s">
        <v>16</v>
      </c>
      <c r="D9" s="99">
        <f t="shared" si="1"/>
        <v>30</v>
      </c>
      <c r="E9" s="99">
        <f t="shared" si="0"/>
        <v>8</v>
      </c>
      <c r="F9" s="99">
        <f t="shared" si="0"/>
        <v>13</v>
      </c>
      <c r="G9" s="99">
        <f t="shared" si="0"/>
        <v>6</v>
      </c>
      <c r="H9" s="99">
        <f t="shared" si="0"/>
        <v>11</v>
      </c>
      <c r="I9" s="99">
        <f t="shared" si="0"/>
        <v>46</v>
      </c>
      <c r="J9" s="99">
        <f t="shared" si="0"/>
        <v>44</v>
      </c>
      <c r="K9" s="99">
        <f t="shared" si="0"/>
        <v>2</v>
      </c>
      <c r="L9" s="101">
        <f>U9+AD9-خصم!$H9</f>
        <v>45</v>
      </c>
      <c r="M9" s="102">
        <f>SUMPRODUCT((جدول_المباريات!F$3:F$384=C9)*(جدول_المباريات!G$3:G$384&lt;&gt;""))</f>
        <v>16</v>
      </c>
      <c r="N9" s="99">
        <f>SUMPRODUCT((جدول_المباريات!F$3:F$384=C9)*(جدول_المباريات!G$3:G$384=""))</f>
        <v>3</v>
      </c>
      <c r="O9" s="102">
        <f>SUMPRODUCT((جدول_المباريات!F$3:F$384=C9)*(جدول_المباريات!G$3:G$384&gt;جدول_المباريات!H$3:H$384))</f>
        <v>8</v>
      </c>
      <c r="P9" s="102">
        <f>SUMPRODUCT((جدول_المباريات!F$3:F$384=C9)*(جدول_المباريات!G$3:G$384=جدول_المباريات!H$3:H$384)*(جدول_المباريات!G$3:G$384&lt;&gt;""))</f>
        <v>4</v>
      </c>
      <c r="Q9" s="102">
        <f>SUMPRODUCT((جدول_المباريات!F$3:F$384=C9)*(جدول_المباريات!G$3:G$384&lt;جدول_المباريات!H$3:H$384))</f>
        <v>4</v>
      </c>
      <c r="R9" s="102">
        <f>SUMIF(جدول_المباريات!F$3:F$384,C9,جدول_المباريات!G$3:G$384)</f>
        <v>27</v>
      </c>
      <c r="S9" s="102">
        <f>SUMIF(جدول_المباريات!F$3:F$384,C9,جدول_المباريات!H$3:H$384)</f>
        <v>18</v>
      </c>
      <c r="T9" s="99">
        <f t="shared" si="2"/>
        <v>9</v>
      </c>
      <c r="U9" s="99">
        <f t="shared" si="3"/>
        <v>28</v>
      </c>
      <c r="V9" s="99">
        <f>SUMPRODUCT((جدول_المباريات!I$3:I$384=C9)*(جدول_المباريات!H$3:H$384&lt;&gt;""))</f>
        <v>14</v>
      </c>
      <c r="W9" s="99">
        <f>SUMPRODUCT((جدول_المباريات!I$3:I$384=C9)*(جدول_المباريات!H$3:H$384=""))</f>
        <v>5</v>
      </c>
      <c r="X9" s="102">
        <f>SUMPRODUCT((جدول_المباريات!I$3:I$384=C9)*(جدول_المباريات!H$3:H$384&gt;جدول_المباريات!G$3:G$384))</f>
        <v>5</v>
      </c>
      <c r="Y9" s="99">
        <f>SUMPRODUCT((جدول_المباريات!I$3:I$384=C9)*(جدول_المباريات!H$3:H$384=جدول_المباريات!G$3:G$384)*(جدول_المباريات!H$3:H$384&lt;&gt;""))</f>
        <v>2</v>
      </c>
      <c r="Z9" s="99">
        <f>SUMPRODUCT((جدول_المباريات!I$3:I$384=C9)*(جدول_المباريات!H$3:H$384&lt;جدول_المباريات!G$3:G$384))</f>
        <v>7</v>
      </c>
      <c r="AA9" s="99">
        <f>SUMIF(جدول_المباريات!I$3:I$384,C9,جدول_المباريات!H$3:H$384)</f>
        <v>19</v>
      </c>
      <c r="AB9" s="99">
        <f>SUMIF(جدول_المباريات!I$3:I$384,C9,جدول_المباريات!G$3:G$384)</f>
        <v>26</v>
      </c>
      <c r="AC9" s="99">
        <f t="shared" si="4"/>
        <v>-7</v>
      </c>
      <c r="AD9" s="99">
        <f t="shared" si="5"/>
        <v>17</v>
      </c>
      <c r="AE9" s="99">
        <f t="shared" si="6"/>
        <v>14</v>
      </c>
      <c r="AF9" s="99">
        <f>(L9*1000000)+(AE9*10000)+(I9*1000)+(D9*96)</f>
        <v>45188880</v>
      </c>
      <c r="AG9" s="99">
        <f t="shared" si="7"/>
        <v>6</v>
      </c>
      <c r="AH9" s="100">
        <f>RANK(I9,$I$5:$I$24,0)+COUNTIF($I$5:I9,I9)-1</f>
        <v>6</v>
      </c>
      <c r="AI9" s="100">
        <f>RANK(J9,$J$5:$J$24,1)+COUNTIF($J$5:J9,J9)-1</f>
        <v>14</v>
      </c>
      <c r="AJ9" s="100">
        <f>RANK(F9,$F$5:$F$24,0)+COUNTIF($F$5:F9,F9)-1</f>
        <v>7</v>
      </c>
      <c r="AK9" s="100">
        <f>RANK(G9,$G$5:$G$24,0)+COUNTIF($G$5:G9,G9)-1</f>
        <v>10</v>
      </c>
      <c r="AL9" s="100">
        <f>RANK(H9,$H$5:$H$24,0)+COUNTIF($H$5:H9,H9)-1</f>
        <v>15</v>
      </c>
    </row>
    <row r="10" spans="2:38" s="100" customFormat="1" ht="15">
      <c r="B10" s="98">
        <v>6</v>
      </c>
      <c r="C10" s="98" t="s">
        <v>19</v>
      </c>
      <c r="D10" s="99">
        <f t="shared" si="1"/>
        <v>30</v>
      </c>
      <c r="E10" s="99">
        <f t="shared" si="0"/>
        <v>8</v>
      </c>
      <c r="F10" s="99">
        <f t="shared" si="0"/>
        <v>14</v>
      </c>
      <c r="G10" s="99">
        <f t="shared" si="0"/>
        <v>3</v>
      </c>
      <c r="H10" s="99">
        <f t="shared" si="0"/>
        <v>13</v>
      </c>
      <c r="I10" s="99">
        <f t="shared" si="0"/>
        <v>47</v>
      </c>
      <c r="J10" s="99">
        <f t="shared" si="0"/>
        <v>42</v>
      </c>
      <c r="K10" s="99">
        <f t="shared" si="0"/>
        <v>5</v>
      </c>
      <c r="L10" s="101">
        <f>U10+AD10-خصم!$H10</f>
        <v>45</v>
      </c>
      <c r="M10" s="102">
        <f>SUMPRODUCT((جدول_المباريات!F$3:F$384=C10)*(جدول_المباريات!G$3:G$384&lt;&gt;""))</f>
        <v>15</v>
      </c>
      <c r="N10" s="99">
        <f>SUMPRODUCT((جدول_المباريات!F$3:F$384=C10)*(جدول_المباريات!G$3:G$384=""))</f>
        <v>4</v>
      </c>
      <c r="O10" s="102">
        <f>SUMPRODUCT((جدول_المباريات!F$3:F$384=C10)*(جدول_المباريات!G$3:G$384&gt;جدول_المباريات!H$3:H$384))</f>
        <v>10</v>
      </c>
      <c r="P10" s="102">
        <f>SUMPRODUCT((جدول_المباريات!F$3:F$384=C10)*(جدول_المباريات!G$3:G$384=جدول_المباريات!H$3:H$384)*(جدول_المباريات!G$3:G$384&lt;&gt;""))</f>
        <v>0</v>
      </c>
      <c r="Q10" s="102">
        <f>SUMPRODUCT((جدول_المباريات!F$3:F$384=C10)*(جدول_المباريات!G$3:G$384&lt;جدول_المباريات!H$3:H$384))</f>
        <v>5</v>
      </c>
      <c r="R10" s="102">
        <f>SUMIF(جدول_المباريات!F$3:F$384,C10,جدول_المباريات!G$3:G$384)</f>
        <v>26</v>
      </c>
      <c r="S10" s="102">
        <f>SUMIF(جدول_المباريات!F$3:F$384,C10,جدول_المباريات!H$3:H$384)</f>
        <v>13</v>
      </c>
      <c r="T10" s="99">
        <f t="shared" si="2"/>
        <v>13</v>
      </c>
      <c r="U10" s="99">
        <f t="shared" si="3"/>
        <v>30</v>
      </c>
      <c r="V10" s="99">
        <f>SUMPRODUCT((جدول_المباريات!I$3:I$384=C10)*(جدول_المباريات!H$3:H$384&lt;&gt;""))</f>
        <v>15</v>
      </c>
      <c r="W10" s="99">
        <f>SUMPRODUCT((جدول_المباريات!I$3:I$384=C10)*(جدول_المباريات!H$3:H$384=""))</f>
        <v>4</v>
      </c>
      <c r="X10" s="102">
        <f>SUMPRODUCT((جدول_المباريات!I$3:I$384=C10)*(جدول_المباريات!H$3:H$384&gt;جدول_المباريات!G$3:G$384))</f>
        <v>4</v>
      </c>
      <c r="Y10" s="99">
        <f>SUMPRODUCT((جدول_المباريات!I$3:I$384=C10)*(جدول_المباريات!H$3:H$384=جدول_المباريات!G$3:G$384)*(جدول_المباريات!H$3:H$384&lt;&gt;""))</f>
        <v>3</v>
      </c>
      <c r="Z10" s="99">
        <f>SUMPRODUCT((جدول_المباريات!I$3:I$384=C10)*(جدول_المباريات!H$3:H$384&lt;جدول_المباريات!G$3:G$384))</f>
        <v>8</v>
      </c>
      <c r="AA10" s="99">
        <f>SUMIF(جدول_المباريات!I$3:I$384,C10,جدول_المباريات!H$3:H$384)</f>
        <v>21</v>
      </c>
      <c r="AB10" s="99">
        <f>SUMIF(جدول_المباريات!I$3:I$384,C10,جدول_المباريات!G$3:G$384)</f>
        <v>29</v>
      </c>
      <c r="AC10" s="99">
        <f t="shared" si="4"/>
        <v>-8</v>
      </c>
      <c r="AD10" s="99">
        <f t="shared" si="5"/>
        <v>15</v>
      </c>
      <c r="AE10" s="99">
        <f t="shared" si="6"/>
        <v>16</v>
      </c>
      <c r="AF10" s="99">
        <f>(L10*1000000)+(AE10*10000)+(I10*1000)+(D10*95)</f>
        <v>45209850</v>
      </c>
      <c r="AG10" s="99">
        <f t="shared" si="7"/>
        <v>5</v>
      </c>
      <c r="AH10" s="100">
        <f>RANK(I10,$I$5:$I$24,0)+COUNTIF($I$5:I10,I10)-1</f>
        <v>4</v>
      </c>
      <c r="AI10" s="100">
        <f>RANK(J10,$J$5:$J$24,1)+COUNTIF($J$5:J10,J10)-1</f>
        <v>11</v>
      </c>
      <c r="AJ10" s="100">
        <f>RANK(F10,$F$5:$F$24,0)+COUNTIF($F$5:F10,F10)-1</f>
        <v>5</v>
      </c>
      <c r="AK10" s="100">
        <f>RANK(G10,$G$5:$G$24,0)+COUNTIF($G$5:G10,G10)-1</f>
        <v>18</v>
      </c>
      <c r="AL10" s="100">
        <f>RANK(H10,$H$5:$H$24,0)+COUNTIF($H$5:H10,H10)-1</f>
        <v>10</v>
      </c>
    </row>
    <row r="11" spans="2:38" s="100" customFormat="1" ht="15">
      <c r="B11" s="98">
        <v>7</v>
      </c>
      <c r="C11" s="98" t="s">
        <v>27</v>
      </c>
      <c r="D11" s="99">
        <f t="shared" si="1"/>
        <v>30</v>
      </c>
      <c r="E11" s="99">
        <f t="shared" si="0"/>
        <v>8</v>
      </c>
      <c r="F11" s="99">
        <f t="shared" si="0"/>
        <v>9</v>
      </c>
      <c r="G11" s="99">
        <f t="shared" si="0"/>
        <v>9</v>
      </c>
      <c r="H11" s="99">
        <f t="shared" si="0"/>
        <v>12</v>
      </c>
      <c r="I11" s="99">
        <f t="shared" si="0"/>
        <v>30</v>
      </c>
      <c r="J11" s="99">
        <f t="shared" si="0"/>
        <v>44</v>
      </c>
      <c r="K11" s="99">
        <f t="shared" si="0"/>
        <v>-14</v>
      </c>
      <c r="L11" s="101">
        <f>U11+AD11-خصم!$H11</f>
        <v>36</v>
      </c>
      <c r="M11" s="102">
        <f>SUMPRODUCT((جدول_المباريات!F$3:F$384=C11)*(جدول_المباريات!G$3:G$384&lt;&gt;""))</f>
        <v>14</v>
      </c>
      <c r="N11" s="99">
        <f>SUMPRODUCT((جدول_المباريات!F$3:F$384=C11)*(جدول_المباريات!G$3:G$384=""))</f>
        <v>5</v>
      </c>
      <c r="O11" s="102">
        <f>SUMPRODUCT((جدول_المباريات!F$3:F$384=C11)*(جدول_المباريات!G$3:G$384&gt;جدول_المباريات!H$3:H$384))</f>
        <v>6</v>
      </c>
      <c r="P11" s="102">
        <f>SUMPRODUCT((جدول_المباريات!F$3:F$384=C11)*(جدول_المباريات!G$3:G$384=جدول_المباريات!H$3:H$384)*(جدول_المباريات!G$3:G$384&lt;&gt;""))</f>
        <v>5</v>
      </c>
      <c r="Q11" s="102">
        <f>SUMPRODUCT((جدول_المباريات!F$3:F$384=C11)*(جدول_المباريات!G$3:G$384&lt;جدول_المباريات!H$3:H$384))</f>
        <v>3</v>
      </c>
      <c r="R11" s="102">
        <f>SUMIF(جدول_المباريات!F$3:F$384,C11,جدول_المباريات!G$3:G$384)</f>
        <v>18</v>
      </c>
      <c r="S11" s="102">
        <f>SUMIF(جدول_المباريات!F$3:F$384,C11,جدول_المباريات!H$3:H$384)</f>
        <v>15</v>
      </c>
      <c r="T11" s="99">
        <f t="shared" si="2"/>
        <v>3</v>
      </c>
      <c r="U11" s="99">
        <f t="shared" si="3"/>
        <v>23</v>
      </c>
      <c r="V11" s="99">
        <f>SUMPRODUCT((جدول_المباريات!I$3:I$384=C11)*(جدول_المباريات!H$3:H$384&lt;&gt;""))</f>
        <v>16</v>
      </c>
      <c r="W11" s="99">
        <f>SUMPRODUCT((جدول_المباريات!I$3:I$384=C11)*(جدول_المباريات!H$3:H$384=""))</f>
        <v>3</v>
      </c>
      <c r="X11" s="102">
        <f>SUMPRODUCT((جدول_المباريات!I$3:I$384=C11)*(جدول_المباريات!H$3:H$384&gt;جدول_المباريات!G$3:G$384))</f>
        <v>3</v>
      </c>
      <c r="Y11" s="99">
        <f>SUMPRODUCT((جدول_المباريات!I$3:I$384=C11)*(جدول_المباريات!H$3:H$384=جدول_المباريات!G$3:G$384)*(جدول_المباريات!H$3:H$384&lt;&gt;""))</f>
        <v>4</v>
      </c>
      <c r="Z11" s="99">
        <f>SUMPRODUCT((جدول_المباريات!I$3:I$384=C11)*(جدول_المباريات!H$3:H$384&lt;جدول_المباريات!G$3:G$384))</f>
        <v>9</v>
      </c>
      <c r="AA11" s="99">
        <f>SUMIF(جدول_المباريات!I$3:I$384,C11,جدول_المباريات!H$3:H$384)</f>
        <v>12</v>
      </c>
      <c r="AB11" s="99">
        <f>SUMIF(جدول_المباريات!I$3:I$384,C11,جدول_المباريات!G$3:G$384)</f>
        <v>29</v>
      </c>
      <c r="AC11" s="99">
        <f t="shared" si="4"/>
        <v>-17</v>
      </c>
      <c r="AD11" s="99">
        <f t="shared" si="5"/>
        <v>13</v>
      </c>
      <c r="AE11" s="99">
        <f t="shared" si="6"/>
        <v>5</v>
      </c>
      <c r="AF11" s="99">
        <f>(L11*1000000)+(AE11*10000)+(I11*1000)+(D11*94)</f>
        <v>36082820</v>
      </c>
      <c r="AG11" s="99">
        <f t="shared" si="7"/>
        <v>11</v>
      </c>
      <c r="AH11" s="100">
        <f>RANK(I11,$I$5:$I$24,0)+COUNTIF($I$5:I11,I11)-1</f>
        <v>16</v>
      </c>
      <c r="AI11" s="100">
        <f>RANK(J11,$J$5:$J$24,1)+COUNTIF($J$5:J11,J11)-1</f>
        <v>15</v>
      </c>
      <c r="AJ11" s="100">
        <f>RANK(F11,$F$5:$F$24,0)+COUNTIF($F$5:F11,F11)-1</f>
        <v>12</v>
      </c>
      <c r="AK11" s="100">
        <f>RANK(G11,$G$5:$G$24,0)+COUNTIF($G$5:G11,G11)-1</f>
        <v>4</v>
      </c>
      <c r="AL11" s="100">
        <f>RANK(H11,$H$5:$H$24,0)+COUNTIF($H$5:H11,H11)-1</f>
        <v>13</v>
      </c>
    </row>
    <row r="12" spans="2:38" s="100" customFormat="1" ht="15">
      <c r="B12" s="98">
        <v>8</v>
      </c>
      <c r="C12" s="98" t="s">
        <v>17</v>
      </c>
      <c r="D12" s="99">
        <f t="shared" si="1"/>
        <v>30</v>
      </c>
      <c r="E12" s="99">
        <f t="shared" si="0"/>
        <v>8</v>
      </c>
      <c r="F12" s="99">
        <f t="shared" si="0"/>
        <v>5</v>
      </c>
      <c r="G12" s="99">
        <f t="shared" si="0"/>
        <v>11</v>
      </c>
      <c r="H12" s="99">
        <f t="shared" si="0"/>
        <v>14</v>
      </c>
      <c r="I12" s="99">
        <f t="shared" si="0"/>
        <v>31</v>
      </c>
      <c r="J12" s="99">
        <f t="shared" si="0"/>
        <v>51</v>
      </c>
      <c r="K12" s="99">
        <f t="shared" si="0"/>
        <v>-20</v>
      </c>
      <c r="L12" s="101">
        <f>U12+AD12-خصم!$H12</f>
        <v>26</v>
      </c>
      <c r="M12" s="102">
        <f>SUMPRODUCT((جدول_المباريات!F$3:F$384=C12)*(جدول_المباريات!G$3:G$384&lt;&gt;""))</f>
        <v>15</v>
      </c>
      <c r="N12" s="99">
        <f>SUMPRODUCT((جدول_المباريات!F$3:F$384=C12)*(جدول_المباريات!G$3:G$384=""))</f>
        <v>4</v>
      </c>
      <c r="O12" s="102">
        <f>SUMPRODUCT((جدول_المباريات!F$3:F$384=C12)*(جدول_المباريات!G$3:G$384&gt;جدول_المباريات!H$3:H$384))</f>
        <v>2</v>
      </c>
      <c r="P12" s="102">
        <f>SUMPRODUCT((جدول_المباريات!F$3:F$384=C12)*(جدول_المباريات!G$3:G$384=جدول_المباريات!H$3:H$384)*(جدول_المباريات!G$3:G$384&lt;&gt;""))</f>
        <v>9</v>
      </c>
      <c r="Q12" s="102">
        <f>SUMPRODUCT((جدول_المباريات!F$3:F$384=C12)*(جدول_المباريات!G$3:G$384&lt;جدول_المباريات!H$3:H$384))</f>
        <v>4</v>
      </c>
      <c r="R12" s="102">
        <f>SUMIF(جدول_المباريات!F$3:F$384,C12,جدول_المباريات!G$3:G$384)</f>
        <v>20</v>
      </c>
      <c r="S12" s="102">
        <f>SUMIF(جدول_المباريات!F$3:F$384,C12,جدول_المباريات!H$3:H$384)</f>
        <v>30</v>
      </c>
      <c r="T12" s="99">
        <f t="shared" si="2"/>
        <v>-10</v>
      </c>
      <c r="U12" s="99">
        <f t="shared" si="3"/>
        <v>15</v>
      </c>
      <c r="V12" s="99">
        <f>SUMPRODUCT((جدول_المباريات!I$3:I$384=C12)*(جدول_المباريات!H$3:H$384&lt;&gt;""))</f>
        <v>15</v>
      </c>
      <c r="W12" s="99">
        <f>SUMPRODUCT((جدول_المباريات!I$3:I$384=C12)*(جدول_المباريات!H$3:H$384=""))</f>
        <v>4</v>
      </c>
      <c r="X12" s="102">
        <f>SUMPRODUCT((جدول_المباريات!I$3:I$384=C12)*(جدول_المباريات!H$3:H$384&gt;جدول_المباريات!G$3:G$384))</f>
        <v>3</v>
      </c>
      <c r="Y12" s="99">
        <f>SUMPRODUCT((جدول_المباريات!I$3:I$384=C12)*(جدول_المباريات!H$3:H$384=جدول_المباريات!G$3:G$384)*(جدول_المباريات!H$3:H$384&lt;&gt;""))</f>
        <v>2</v>
      </c>
      <c r="Z12" s="99">
        <f>SUMPRODUCT((جدول_المباريات!I$3:I$384=C12)*(جدول_المباريات!H$3:H$384&lt;جدول_المباريات!G$3:G$384))</f>
        <v>10</v>
      </c>
      <c r="AA12" s="99">
        <f>SUMIF(جدول_المباريات!I$3:I$384,C12,جدول_المباريات!H$3:H$384)</f>
        <v>11</v>
      </c>
      <c r="AB12" s="99">
        <f>SUMIF(جدول_المباريات!I$3:I$384,C12,جدول_المباريات!G$3:G$384)</f>
        <v>21</v>
      </c>
      <c r="AC12" s="99">
        <f t="shared" si="4"/>
        <v>-10</v>
      </c>
      <c r="AD12" s="99">
        <f t="shared" si="5"/>
        <v>11</v>
      </c>
      <c r="AE12" s="99">
        <f t="shared" si="6"/>
        <v>2</v>
      </c>
      <c r="AF12" s="99">
        <f>(L12*1000000)+(AE12*10000)+(I12*1000)+(D12*93)</f>
        <v>26053790</v>
      </c>
      <c r="AG12" s="99">
        <f t="shared" si="7"/>
        <v>20</v>
      </c>
      <c r="AH12" s="100">
        <f>RANK(I12,$I$5:$I$24,0)+COUNTIF($I$5:I12,I12)-1</f>
        <v>14</v>
      </c>
      <c r="AI12" s="100">
        <f>RANK(J12,$J$5:$J$24,1)+COUNTIF($J$5:J12,J12)-1</f>
        <v>19</v>
      </c>
      <c r="AJ12" s="100">
        <f>RANK(F12,$F$5:$F$24,0)+COUNTIF($F$5:F12,F12)-1</f>
        <v>20</v>
      </c>
      <c r="AK12" s="100">
        <f>RANK(G12,$G$5:$G$24,0)+COUNTIF($G$5:G12,G12)-1</f>
        <v>1</v>
      </c>
      <c r="AL12" s="100">
        <f>RANK(H12,$H$5:$H$24,0)+COUNTIF($H$5:H12,H12)-1</f>
        <v>5</v>
      </c>
    </row>
    <row r="13" spans="2:38" s="100" customFormat="1" ht="15">
      <c r="B13" s="98">
        <v>9</v>
      </c>
      <c r="C13" s="98" t="s">
        <v>26</v>
      </c>
      <c r="D13" s="99">
        <f t="shared" si="1"/>
        <v>30</v>
      </c>
      <c r="E13" s="99">
        <f t="shared" si="0"/>
        <v>8</v>
      </c>
      <c r="F13" s="99">
        <f t="shared" si="0"/>
        <v>8</v>
      </c>
      <c r="G13" s="99">
        <f t="shared" si="0"/>
        <v>11</v>
      </c>
      <c r="H13" s="99">
        <f t="shared" si="0"/>
        <v>11</v>
      </c>
      <c r="I13" s="99">
        <f t="shared" si="0"/>
        <v>28</v>
      </c>
      <c r="J13" s="99">
        <f t="shared" si="0"/>
        <v>35</v>
      </c>
      <c r="K13" s="99">
        <f t="shared" si="0"/>
        <v>-7</v>
      </c>
      <c r="L13" s="101">
        <f>U13+AD13-خصم!$H13</f>
        <v>35</v>
      </c>
      <c r="M13" s="102">
        <f>SUMPRODUCT((جدول_المباريات!F$3:F$384=C13)*(جدول_المباريات!G$3:G$384&lt;&gt;""))</f>
        <v>15</v>
      </c>
      <c r="N13" s="99">
        <f>SUMPRODUCT((جدول_المباريات!F$3:F$384=C13)*(جدول_المباريات!G$3:G$384=""))</f>
        <v>4</v>
      </c>
      <c r="O13" s="102">
        <f>SUMPRODUCT((جدول_المباريات!F$3:F$384=C13)*(جدول_المباريات!G$3:G$384&gt;جدول_المباريات!H$3:H$384))</f>
        <v>6</v>
      </c>
      <c r="P13" s="102">
        <f>SUMPRODUCT((جدول_المباريات!F$3:F$384=C13)*(جدول_المباريات!G$3:G$384=جدول_المباريات!H$3:H$384)*(جدول_المباريات!G$3:G$384&lt;&gt;""))</f>
        <v>5</v>
      </c>
      <c r="Q13" s="102">
        <f>SUMPRODUCT((جدول_المباريات!F$3:F$384=C13)*(جدول_المباريات!G$3:G$384&lt;جدول_المباريات!H$3:H$384))</f>
        <v>4</v>
      </c>
      <c r="R13" s="102">
        <f>SUMIF(جدول_المباريات!F$3:F$384,C13,جدول_المباريات!G$3:G$384)</f>
        <v>17</v>
      </c>
      <c r="S13" s="102">
        <f>SUMIF(جدول_المباريات!F$3:F$384,C13,جدول_المباريات!H$3:H$384)</f>
        <v>13</v>
      </c>
      <c r="T13" s="99">
        <f t="shared" si="2"/>
        <v>4</v>
      </c>
      <c r="U13" s="99">
        <f t="shared" si="3"/>
        <v>23</v>
      </c>
      <c r="V13" s="99">
        <f>SUMPRODUCT((جدول_المباريات!I$3:I$384=C13)*(جدول_المباريات!H$3:H$384&lt;&gt;""))</f>
        <v>15</v>
      </c>
      <c r="W13" s="99">
        <f>SUMPRODUCT((جدول_المباريات!I$3:I$384=C13)*(جدول_المباريات!H$3:H$384=""))</f>
        <v>4</v>
      </c>
      <c r="X13" s="102">
        <f>SUMPRODUCT((جدول_المباريات!I$3:I$384=C13)*(جدول_المباريات!H$3:H$384&gt;جدول_المباريات!G$3:G$384))</f>
        <v>2</v>
      </c>
      <c r="Y13" s="99">
        <f>SUMPRODUCT((جدول_المباريات!I$3:I$384=C13)*(جدول_المباريات!H$3:H$384=جدول_المباريات!G$3:G$384)*(جدول_المباريات!H$3:H$384&lt;&gt;""))</f>
        <v>6</v>
      </c>
      <c r="Z13" s="99">
        <f>SUMPRODUCT((جدول_المباريات!I$3:I$384=C13)*(جدول_المباريات!H$3:H$384&lt;جدول_المباريات!G$3:G$384))</f>
        <v>7</v>
      </c>
      <c r="AA13" s="99">
        <f>SUMIF(جدول_المباريات!I$3:I$384,C13,جدول_المباريات!H$3:H$384)</f>
        <v>11</v>
      </c>
      <c r="AB13" s="99">
        <f>SUMIF(جدول_المباريات!I$3:I$384,C13,جدول_المباريات!G$3:G$384)</f>
        <v>22</v>
      </c>
      <c r="AC13" s="99">
        <f t="shared" si="4"/>
        <v>-11</v>
      </c>
      <c r="AD13" s="99">
        <f t="shared" si="5"/>
        <v>12</v>
      </c>
      <c r="AE13" s="99">
        <f t="shared" si="6"/>
        <v>10</v>
      </c>
      <c r="AF13" s="99">
        <f>(L13*1000000)+(AE13*10000)+(I13*1000)+(D13*92)</f>
        <v>35130760</v>
      </c>
      <c r="AG13" s="99">
        <f t="shared" si="7"/>
        <v>13</v>
      </c>
      <c r="AH13" s="100">
        <f>RANK(I13,$I$5:$I$24,0)+COUNTIF($I$5:I13,I13)-1</f>
        <v>18</v>
      </c>
      <c r="AI13" s="100">
        <f>RANK(J13,$J$5:$J$24,1)+COUNTIF($J$5:J13,J13)-1</f>
        <v>5</v>
      </c>
      <c r="AJ13" s="100">
        <f>RANK(F13,$F$5:$F$24,0)+COUNTIF($F$5:F13,F13)-1</f>
        <v>15</v>
      </c>
      <c r="AK13" s="100">
        <f>RANK(G13,$G$5:$G$24,0)+COUNTIF($G$5:G13,G13)-1</f>
        <v>2</v>
      </c>
      <c r="AL13" s="100">
        <f>RANK(H13,$H$5:$H$24,0)+COUNTIF($H$5:H13,H13)-1</f>
        <v>16</v>
      </c>
    </row>
    <row r="14" spans="2:38" s="100" customFormat="1" ht="15">
      <c r="B14" s="98">
        <v>10</v>
      </c>
      <c r="C14" s="98" t="s">
        <v>20</v>
      </c>
      <c r="D14" s="99">
        <f t="shared" si="1"/>
        <v>30</v>
      </c>
      <c r="E14" s="99">
        <f t="shared" si="0"/>
        <v>8</v>
      </c>
      <c r="F14" s="99">
        <f t="shared" si="0"/>
        <v>14</v>
      </c>
      <c r="G14" s="99">
        <f t="shared" si="0"/>
        <v>1</v>
      </c>
      <c r="H14" s="99">
        <f t="shared" si="0"/>
        <v>15</v>
      </c>
      <c r="I14" s="99">
        <f t="shared" si="0"/>
        <v>38</v>
      </c>
      <c r="J14" s="99">
        <f t="shared" si="0"/>
        <v>43</v>
      </c>
      <c r="K14" s="99">
        <f t="shared" si="0"/>
        <v>-5</v>
      </c>
      <c r="L14" s="101">
        <f>U14+AD14-خصم!$H14</f>
        <v>43</v>
      </c>
      <c r="M14" s="102">
        <f>SUMPRODUCT((جدول_المباريات!F$3:F$384=C14)*(جدول_المباريات!G$3:G$384&lt;&gt;""))</f>
        <v>15</v>
      </c>
      <c r="N14" s="99">
        <f>SUMPRODUCT((جدول_المباريات!F$3:F$384=C14)*(جدول_المباريات!G$3:G$384=""))</f>
        <v>4</v>
      </c>
      <c r="O14" s="102">
        <f>SUMPRODUCT((جدول_المباريات!F$3:F$384=C14)*(جدول_المباريات!G$3:G$384&gt;جدول_المباريات!H$3:H$384))</f>
        <v>10</v>
      </c>
      <c r="P14" s="102">
        <f>SUMPRODUCT((جدول_المباريات!F$3:F$384=C14)*(جدول_المباريات!G$3:G$384=جدول_المباريات!H$3:H$384)*(جدول_المباريات!G$3:G$384&lt;&gt;""))</f>
        <v>0</v>
      </c>
      <c r="Q14" s="102">
        <f>SUMPRODUCT((جدول_المباريات!F$3:F$384=C14)*(جدول_المباريات!G$3:G$384&lt;جدول_المباريات!H$3:H$384))</f>
        <v>5</v>
      </c>
      <c r="R14" s="102">
        <f>SUMIF(جدول_المباريات!F$3:F$384,C14,جدول_المباريات!G$3:G$384)</f>
        <v>25</v>
      </c>
      <c r="S14" s="102">
        <f>SUMIF(جدول_المباريات!F$3:F$384,C14,جدول_المباريات!H$3:H$384)</f>
        <v>14</v>
      </c>
      <c r="T14" s="99">
        <f t="shared" si="2"/>
        <v>11</v>
      </c>
      <c r="U14" s="99">
        <f t="shared" si="3"/>
        <v>30</v>
      </c>
      <c r="V14" s="99">
        <f>SUMPRODUCT((جدول_المباريات!I$3:I$384=C14)*(جدول_المباريات!H$3:H$384&lt;&gt;""))</f>
        <v>15</v>
      </c>
      <c r="W14" s="99">
        <f>SUMPRODUCT((جدول_المباريات!I$3:I$384=C14)*(جدول_المباريات!H$3:H$384=""))</f>
        <v>4</v>
      </c>
      <c r="X14" s="102">
        <f>SUMPRODUCT((جدول_المباريات!I$3:I$384=C14)*(جدول_المباريات!H$3:H$384&gt;جدول_المباريات!G$3:G$384))</f>
        <v>4</v>
      </c>
      <c r="Y14" s="99">
        <f>SUMPRODUCT((جدول_المباريات!I$3:I$384=C14)*(جدول_المباريات!H$3:H$384=جدول_المباريات!G$3:G$384)*(جدول_المباريات!H$3:H$384&lt;&gt;""))</f>
        <v>1</v>
      </c>
      <c r="Z14" s="99">
        <f>SUMPRODUCT((جدول_المباريات!I$3:I$384=C14)*(جدول_المباريات!H$3:H$384&lt;جدول_المباريات!G$3:G$384))</f>
        <v>10</v>
      </c>
      <c r="AA14" s="99">
        <f>SUMIF(جدول_المباريات!I$3:I$384,C14,جدول_المباريات!H$3:H$384)</f>
        <v>13</v>
      </c>
      <c r="AB14" s="99">
        <f>SUMIF(جدول_المباريات!I$3:I$384,C14,جدول_المباريات!G$3:G$384)</f>
        <v>29</v>
      </c>
      <c r="AC14" s="99">
        <f t="shared" si="4"/>
        <v>-16</v>
      </c>
      <c r="AD14" s="99">
        <f t="shared" si="5"/>
        <v>13</v>
      </c>
      <c r="AE14" s="99">
        <f t="shared" si="6"/>
        <v>12</v>
      </c>
      <c r="AF14" s="99">
        <f>(L14*1000000)+(AE14*10000)+(I14*1000)+(D14*91)</f>
        <v>43160730</v>
      </c>
      <c r="AG14" s="99">
        <f t="shared" si="7"/>
        <v>7</v>
      </c>
      <c r="AH14" s="100">
        <f>RANK(I14,$I$5:$I$24,0)+COUNTIF($I$5:I14,I14)-1</f>
        <v>11</v>
      </c>
      <c r="AI14" s="100">
        <f>RANK(J14,$J$5:$J$24,1)+COUNTIF($J$5:J14,J14)-1</f>
        <v>12</v>
      </c>
      <c r="AJ14" s="100">
        <f>RANK(F14,$F$5:$F$24,0)+COUNTIF($F$5:F14,F14)-1</f>
        <v>6</v>
      </c>
      <c r="AK14" s="100">
        <f>RANK(G14,$G$5:$G$24,0)+COUNTIF($G$5:G14,G14)-1</f>
        <v>20</v>
      </c>
      <c r="AL14" s="100">
        <f>RANK(H14,$H$5:$H$24,0)+COUNTIF($H$5:H14,H14)-1</f>
        <v>4</v>
      </c>
    </row>
    <row r="15" spans="2:38" s="100" customFormat="1" ht="15">
      <c r="B15" s="98">
        <v>11</v>
      </c>
      <c r="C15" s="98" t="s">
        <v>24</v>
      </c>
      <c r="D15" s="99">
        <f t="shared" si="1"/>
        <v>30</v>
      </c>
      <c r="E15" s="99">
        <f t="shared" si="0"/>
        <v>8</v>
      </c>
      <c r="F15" s="99">
        <f t="shared" si="0"/>
        <v>11</v>
      </c>
      <c r="G15" s="99">
        <f t="shared" si="0"/>
        <v>5</v>
      </c>
      <c r="H15" s="99">
        <f t="shared" si="0"/>
        <v>14</v>
      </c>
      <c r="I15" s="99">
        <f t="shared" si="0"/>
        <v>31</v>
      </c>
      <c r="J15" s="99">
        <f t="shared" si="0"/>
        <v>40</v>
      </c>
      <c r="K15" s="99">
        <f t="shared" si="0"/>
        <v>-9</v>
      </c>
      <c r="L15" s="101">
        <f>U15+AD15-خصم!$H15</f>
        <v>38</v>
      </c>
      <c r="M15" s="102">
        <f>SUMPRODUCT((جدول_المباريات!F$3:F$384=C15)*(جدول_المباريات!G$3:G$384&lt;&gt;""))</f>
        <v>15</v>
      </c>
      <c r="N15" s="99">
        <f>SUMPRODUCT((جدول_المباريات!F$3:F$384=C15)*(جدول_المباريات!G$3:G$384=""))</f>
        <v>4</v>
      </c>
      <c r="O15" s="102">
        <f>SUMPRODUCT((جدول_المباريات!F$3:F$384=C15)*(جدول_المباريات!G$3:G$384&gt;جدول_المباريات!H$3:H$384))</f>
        <v>8</v>
      </c>
      <c r="P15" s="102">
        <f>SUMPRODUCT((جدول_المباريات!F$3:F$384=C15)*(جدول_المباريات!G$3:G$384=جدول_المباريات!H$3:H$384)*(جدول_المباريات!G$3:G$384&lt;&gt;""))</f>
        <v>2</v>
      </c>
      <c r="Q15" s="102">
        <f>SUMPRODUCT((جدول_المباريات!F$3:F$384=C15)*(جدول_المباريات!G$3:G$384&lt;جدول_المباريات!H$3:H$384))</f>
        <v>5</v>
      </c>
      <c r="R15" s="102">
        <f>SUMIF(جدول_المباريات!F$3:F$384,C15,جدول_المباريات!G$3:G$384)</f>
        <v>18</v>
      </c>
      <c r="S15" s="102">
        <f>SUMIF(جدول_المباريات!F$3:F$384,C15,جدول_المباريات!H$3:H$384)</f>
        <v>13</v>
      </c>
      <c r="T15" s="99">
        <f t="shared" si="2"/>
        <v>5</v>
      </c>
      <c r="U15" s="99">
        <f t="shared" si="3"/>
        <v>26</v>
      </c>
      <c r="V15" s="99">
        <f>SUMPRODUCT((جدول_المباريات!I$3:I$384=C15)*(جدول_المباريات!H$3:H$384&lt;&gt;""))</f>
        <v>15</v>
      </c>
      <c r="W15" s="99">
        <f>SUMPRODUCT((جدول_المباريات!I$3:I$384=C15)*(جدول_المباريات!H$3:H$384=""))</f>
        <v>4</v>
      </c>
      <c r="X15" s="102">
        <f>SUMPRODUCT((جدول_المباريات!I$3:I$384=C15)*(جدول_المباريات!H$3:H$384&gt;جدول_المباريات!G$3:G$384))</f>
        <v>3</v>
      </c>
      <c r="Y15" s="99">
        <f>SUMPRODUCT((جدول_المباريات!I$3:I$384=C15)*(جدول_المباريات!H$3:H$384=جدول_المباريات!G$3:G$384)*(جدول_المباريات!H$3:H$384&lt;&gt;""))</f>
        <v>3</v>
      </c>
      <c r="Z15" s="99">
        <f>SUMPRODUCT((جدول_المباريات!I$3:I$384=C15)*(جدول_المباريات!H$3:H$384&lt;جدول_المباريات!G$3:G$384))</f>
        <v>9</v>
      </c>
      <c r="AA15" s="99">
        <f>SUMIF(جدول_المباريات!I$3:I$384,C15,جدول_المباريات!H$3:H$384)</f>
        <v>13</v>
      </c>
      <c r="AB15" s="99">
        <f>SUMIF(جدول_المباريات!I$3:I$384,C15,جدول_المباريات!G$3:G$384)</f>
        <v>27</v>
      </c>
      <c r="AC15" s="99">
        <f t="shared" si="4"/>
        <v>-14</v>
      </c>
      <c r="AD15" s="99">
        <f t="shared" si="5"/>
        <v>12</v>
      </c>
      <c r="AE15" s="99">
        <f t="shared" si="6"/>
        <v>7</v>
      </c>
      <c r="AF15" s="99">
        <f>(L15*1000000)+(AE15*10000)+(I15*1000)+(D15*90)</f>
        <v>38103700</v>
      </c>
      <c r="AG15" s="99">
        <f t="shared" si="7"/>
        <v>10</v>
      </c>
      <c r="AH15" s="100">
        <f>RANK(I15,$I$5:$I$24,0)+COUNTIF($I$5:I15,I15)-1</f>
        <v>15</v>
      </c>
      <c r="AI15" s="100">
        <f>RANK(J15,$J$5:$J$24,1)+COUNTIF($J$5:J15,J15)-1</f>
        <v>7</v>
      </c>
      <c r="AJ15" s="100">
        <f>RANK(F15,$F$5:$F$24,0)+COUNTIF($F$5:F15,F15)-1</f>
        <v>9</v>
      </c>
      <c r="AK15" s="100">
        <f>RANK(G15,$G$5:$G$24,0)+COUNTIF($G$5:G15,G15)-1</f>
        <v>12</v>
      </c>
      <c r="AL15" s="100">
        <f>RANK(H15,$H$5:$H$24,0)+COUNTIF($H$5:H15,H15)-1</f>
        <v>6</v>
      </c>
    </row>
    <row r="16" spans="2:38" s="100" customFormat="1" ht="15">
      <c r="B16" s="98">
        <v>12</v>
      </c>
      <c r="C16" s="98" t="s">
        <v>13</v>
      </c>
      <c r="D16" s="99">
        <f t="shared" si="1"/>
        <v>30</v>
      </c>
      <c r="E16" s="99">
        <f t="shared" si="0"/>
        <v>8</v>
      </c>
      <c r="F16" s="99">
        <f t="shared" si="0"/>
        <v>8</v>
      </c>
      <c r="G16" s="99">
        <f t="shared" si="0"/>
        <v>5</v>
      </c>
      <c r="H16" s="99">
        <f t="shared" si="0"/>
        <v>17</v>
      </c>
      <c r="I16" s="99">
        <f t="shared" si="0"/>
        <v>39</v>
      </c>
      <c r="J16" s="99">
        <f t="shared" si="0"/>
        <v>62</v>
      </c>
      <c r="K16" s="99">
        <f t="shared" si="0"/>
        <v>-23</v>
      </c>
      <c r="L16" s="101">
        <f>U16+AD16-خصم!$H16</f>
        <v>29</v>
      </c>
      <c r="M16" s="102">
        <f>SUMPRODUCT((جدول_المباريات!F$3:F$384=C16)*(جدول_المباريات!G$3:G$384&lt;&gt;""))</f>
        <v>14</v>
      </c>
      <c r="N16" s="99">
        <f>SUMPRODUCT((جدول_المباريات!F$3:F$384=C16)*(جدول_المباريات!G$3:G$384=""))</f>
        <v>5</v>
      </c>
      <c r="O16" s="102">
        <f>SUMPRODUCT((جدول_المباريات!F$3:F$384=C16)*(جدول_المباريات!G$3:G$384&gt;جدول_المباريات!H$3:H$384))</f>
        <v>4</v>
      </c>
      <c r="P16" s="102">
        <f>SUMPRODUCT((جدول_المباريات!F$3:F$384=C16)*(جدول_المباريات!G$3:G$384=جدول_المباريات!H$3:H$384)*(جدول_المباريات!G$3:G$384&lt;&gt;""))</f>
        <v>2</v>
      </c>
      <c r="Q16" s="102">
        <f>SUMPRODUCT((جدول_المباريات!F$3:F$384=C16)*(جدول_المباريات!G$3:G$384&lt;جدول_المباريات!H$3:H$384))</f>
        <v>8</v>
      </c>
      <c r="R16" s="102">
        <f>SUMIF(جدول_المباريات!F$3:F$384,C16,جدول_المباريات!G$3:G$384)</f>
        <v>20</v>
      </c>
      <c r="S16" s="102">
        <f>SUMIF(جدول_المباريات!F$3:F$384,C16,جدول_المباريات!H$3:H$384)</f>
        <v>25</v>
      </c>
      <c r="T16" s="99">
        <f t="shared" si="2"/>
        <v>-5</v>
      </c>
      <c r="U16" s="99">
        <f t="shared" si="3"/>
        <v>14</v>
      </c>
      <c r="V16" s="99">
        <f>SUMPRODUCT((جدول_المباريات!I$3:I$384=C16)*(جدول_المباريات!H$3:H$384&lt;&gt;""))</f>
        <v>16</v>
      </c>
      <c r="W16" s="99">
        <f>SUMPRODUCT((جدول_المباريات!I$3:I$384=C16)*(جدول_المباريات!H$3:H$384=""))</f>
        <v>3</v>
      </c>
      <c r="X16" s="102">
        <f>SUMPRODUCT((جدول_المباريات!I$3:I$384=C16)*(جدول_المباريات!H$3:H$384&gt;جدول_المباريات!G$3:G$384))</f>
        <v>4</v>
      </c>
      <c r="Y16" s="99">
        <f>SUMPRODUCT((جدول_المباريات!I$3:I$384=C16)*(جدول_المباريات!H$3:H$384=جدول_المباريات!G$3:G$384)*(جدول_المباريات!H$3:H$384&lt;&gt;""))</f>
        <v>3</v>
      </c>
      <c r="Z16" s="99">
        <f>SUMPRODUCT((جدول_المباريات!I$3:I$384=C16)*(جدول_المباريات!H$3:H$384&lt;جدول_المباريات!G$3:G$384))</f>
        <v>9</v>
      </c>
      <c r="AA16" s="99">
        <f>SUMIF(جدول_المباريات!I$3:I$384,C16,جدول_المباريات!H$3:H$384)</f>
        <v>19</v>
      </c>
      <c r="AB16" s="99">
        <f>SUMIF(جدول_المباريات!I$3:I$384,C16,جدول_المباريات!G$3:G$384)</f>
        <v>37</v>
      </c>
      <c r="AC16" s="99">
        <f t="shared" si="4"/>
        <v>-18</v>
      </c>
      <c r="AD16" s="99">
        <f t="shared" si="5"/>
        <v>15</v>
      </c>
      <c r="AE16" s="99">
        <f t="shared" si="6"/>
        <v>1</v>
      </c>
      <c r="AF16" s="99">
        <f>(L16*1000000)+(AE16*10000)+(I16*1000)+(D16*89)</f>
        <v>29051670</v>
      </c>
      <c r="AG16" s="99">
        <f t="shared" si="7"/>
        <v>18</v>
      </c>
      <c r="AH16" s="100">
        <f>RANK(I16,$I$5:$I$24,0)+COUNTIF($I$5:I16,I16)-1</f>
        <v>10</v>
      </c>
      <c r="AI16" s="100">
        <f>RANK(J16,$J$5:$J$24,1)+COUNTIF($J$5:J16,J16)-1</f>
        <v>20</v>
      </c>
      <c r="AJ16" s="100">
        <f>RANK(F16,$F$5:$F$24,0)+COUNTIF($F$5:F16,F16)-1</f>
        <v>16</v>
      </c>
      <c r="AK16" s="100">
        <f>RANK(G16,$G$5:$G$24,0)+COUNTIF($G$5:G16,G16)-1</f>
        <v>13</v>
      </c>
      <c r="AL16" s="100">
        <f>RANK(H16,$H$5:$H$24,0)+COUNTIF($H$5:H16,H16)-1</f>
        <v>1</v>
      </c>
    </row>
    <row r="17" spans="2:38" s="100" customFormat="1" ht="15">
      <c r="B17" s="98">
        <v>13</v>
      </c>
      <c r="C17" s="98" t="s">
        <v>12</v>
      </c>
      <c r="D17" s="99">
        <f t="shared" ref="D17:D24" si="8">M17+V17</f>
        <v>30</v>
      </c>
      <c r="E17" s="99">
        <f t="shared" ref="E17:E24" si="9">N17+W17</f>
        <v>8</v>
      </c>
      <c r="F17" s="99">
        <f t="shared" ref="F17:F24" si="10">O17+X17</f>
        <v>8</v>
      </c>
      <c r="G17" s="99">
        <f t="shared" ref="G17:G24" si="11">P17+Y17</f>
        <v>10</v>
      </c>
      <c r="H17" s="99">
        <f t="shared" ref="H17:H24" si="12">Q17+Z17</f>
        <v>12</v>
      </c>
      <c r="I17" s="99">
        <f t="shared" ref="I17:I24" si="13">R17+AA17</f>
        <v>25</v>
      </c>
      <c r="J17" s="99">
        <f t="shared" ref="J17:J24" si="14">S17+AB17</f>
        <v>40</v>
      </c>
      <c r="K17" s="99">
        <f t="shared" ref="K17:K24" si="15">T17+AC17</f>
        <v>-15</v>
      </c>
      <c r="L17" s="101">
        <f>U17+AD17-خصم!$H17</f>
        <v>34</v>
      </c>
      <c r="M17" s="102">
        <f>SUMPRODUCT((جدول_المباريات!F$3:F$384=C17)*(جدول_المباريات!G$3:G$384&lt;&gt;""))</f>
        <v>15</v>
      </c>
      <c r="N17" s="99">
        <f>SUMPRODUCT((جدول_المباريات!F$3:F$384=C17)*(جدول_المباريات!G$3:G$384=""))</f>
        <v>4</v>
      </c>
      <c r="O17" s="102">
        <f>SUMPRODUCT((جدول_المباريات!F$3:F$384=C17)*(جدول_المباريات!G$3:G$384&gt;جدول_المباريات!H$3:H$384))</f>
        <v>6</v>
      </c>
      <c r="P17" s="102">
        <f>SUMPRODUCT((جدول_المباريات!F$3:F$384=C17)*(جدول_المباريات!G$3:G$384=جدول_المباريات!H$3:H$384)*(جدول_المباريات!G$3:G$384&lt;&gt;""))</f>
        <v>6</v>
      </c>
      <c r="Q17" s="102">
        <f>SUMPRODUCT((جدول_المباريات!F$3:F$384=C17)*(جدول_المباريات!G$3:G$384&lt;جدول_المباريات!H$3:H$384))</f>
        <v>3</v>
      </c>
      <c r="R17" s="102">
        <f>SUMIF(جدول_المباريات!F$3:F$384,C17,جدول_المباريات!G$3:G$384)</f>
        <v>18</v>
      </c>
      <c r="S17" s="102">
        <f>SUMIF(جدول_المباريات!F$3:F$384,C17,جدول_المباريات!H$3:H$384)</f>
        <v>15</v>
      </c>
      <c r="T17" s="99">
        <f t="shared" si="2"/>
        <v>3</v>
      </c>
      <c r="U17" s="99">
        <f t="shared" si="3"/>
        <v>24</v>
      </c>
      <c r="V17" s="99">
        <f>SUMPRODUCT((جدول_المباريات!I$3:I$384=C17)*(جدول_المباريات!H$3:H$384&lt;&gt;""))</f>
        <v>15</v>
      </c>
      <c r="W17" s="99">
        <f>SUMPRODUCT((جدول_المباريات!I$3:I$384=C17)*(جدول_المباريات!H$3:H$384=""))</f>
        <v>4</v>
      </c>
      <c r="X17" s="102">
        <f>SUMPRODUCT((جدول_المباريات!I$3:I$384=C17)*(جدول_المباريات!H$3:H$384&gt;جدول_المباريات!G$3:G$384))</f>
        <v>2</v>
      </c>
      <c r="Y17" s="99">
        <f>SUMPRODUCT((جدول_المباريات!I$3:I$384=C17)*(جدول_المباريات!H$3:H$384=جدول_المباريات!G$3:G$384)*(جدول_المباريات!H$3:H$384&lt;&gt;""))</f>
        <v>4</v>
      </c>
      <c r="Z17" s="99">
        <f>SUMPRODUCT((جدول_المباريات!I$3:I$384=C17)*(جدول_المباريات!H$3:H$384&lt;جدول_المباريات!G$3:G$384))</f>
        <v>9</v>
      </c>
      <c r="AA17" s="99">
        <f>SUMIF(جدول_المباريات!I$3:I$384,C17,جدول_المباريات!H$3:H$384)</f>
        <v>7</v>
      </c>
      <c r="AB17" s="99">
        <f>SUMIF(جدول_المباريات!I$3:I$384,C17,جدول_المباريات!G$3:G$384)</f>
        <v>25</v>
      </c>
      <c r="AC17" s="99">
        <f t="shared" si="4"/>
        <v>-18</v>
      </c>
      <c r="AD17" s="99">
        <f t="shared" si="5"/>
        <v>10</v>
      </c>
      <c r="AE17" s="99">
        <f t="shared" si="6"/>
        <v>4</v>
      </c>
      <c r="AF17" s="99">
        <f>(L17*1000000)+(AE17*10000)+(I17*1000)+(D17*88)</f>
        <v>34067640</v>
      </c>
      <c r="AG17" s="99">
        <f t="shared" si="7"/>
        <v>16</v>
      </c>
      <c r="AH17" s="100">
        <f>RANK(I17,$I$5:$I$24,0)+COUNTIF($I$5:I17,I17)-1</f>
        <v>20</v>
      </c>
      <c r="AI17" s="100">
        <f>RANK(J17,$J$5:$J$24,1)+COUNTIF($J$5:J17,J17)-1</f>
        <v>8</v>
      </c>
      <c r="AJ17" s="100">
        <f>RANK(F17,$F$5:$F$24,0)+COUNTIF($F$5:F17,F17)-1</f>
        <v>17</v>
      </c>
      <c r="AK17" s="100">
        <f>RANK(G17,$G$5:$G$24,0)+COUNTIF($G$5:G17,G17)-1</f>
        <v>3</v>
      </c>
      <c r="AL17" s="100">
        <f>RANK(H17,$H$5:$H$24,0)+COUNTIF($H$5:H17,H17)-1</f>
        <v>14</v>
      </c>
    </row>
    <row r="18" spans="2:38" s="100" customFormat="1" ht="15">
      <c r="B18" s="98">
        <v>14</v>
      </c>
      <c r="C18" s="98" t="s">
        <v>22</v>
      </c>
      <c r="D18" s="99">
        <f t="shared" si="8"/>
        <v>30</v>
      </c>
      <c r="E18" s="99">
        <f t="shared" si="9"/>
        <v>8</v>
      </c>
      <c r="F18" s="99">
        <f t="shared" si="10"/>
        <v>16</v>
      </c>
      <c r="G18" s="99">
        <f t="shared" si="11"/>
        <v>6</v>
      </c>
      <c r="H18" s="99">
        <f t="shared" si="12"/>
        <v>8</v>
      </c>
      <c r="I18" s="99">
        <f t="shared" si="13"/>
        <v>48</v>
      </c>
      <c r="J18" s="99">
        <f t="shared" si="14"/>
        <v>31</v>
      </c>
      <c r="K18" s="99">
        <f t="shared" si="15"/>
        <v>17</v>
      </c>
      <c r="L18" s="101">
        <f>U18+AD18-خصم!$H18</f>
        <v>54</v>
      </c>
      <c r="M18" s="102">
        <f>SUMPRODUCT((جدول_المباريات!F$3:F$384=C18)*(جدول_المباريات!G$3:G$384&lt;&gt;""))</f>
        <v>16</v>
      </c>
      <c r="N18" s="99">
        <f>SUMPRODUCT((جدول_المباريات!F$3:F$384=C18)*(جدول_المباريات!G$3:G$384=""))</f>
        <v>3</v>
      </c>
      <c r="O18" s="102">
        <f>SUMPRODUCT((جدول_المباريات!F$3:F$384=C18)*(جدول_المباريات!G$3:G$384&gt;جدول_المباريات!H$3:H$384))</f>
        <v>11</v>
      </c>
      <c r="P18" s="102">
        <f>SUMPRODUCT((جدول_المباريات!F$3:F$384=C18)*(جدول_المباريات!G$3:G$384=جدول_المباريات!H$3:H$384)*(جدول_المباريات!G$3:G$384&lt;&gt;""))</f>
        <v>3</v>
      </c>
      <c r="Q18" s="102">
        <f>SUMPRODUCT((جدول_المباريات!F$3:F$384=C18)*(جدول_المباريات!G$3:G$384&lt;جدول_المباريات!H$3:H$384))</f>
        <v>2</v>
      </c>
      <c r="R18" s="102">
        <f>SUMIF(جدول_المباريات!F$3:F$384,C18,جدول_المباريات!G$3:G$384)</f>
        <v>29</v>
      </c>
      <c r="S18" s="102">
        <f>SUMIF(جدول_المباريات!F$3:F$384,C18,جدول_المباريات!H$3:H$384)</f>
        <v>10</v>
      </c>
      <c r="T18" s="99">
        <f t="shared" si="2"/>
        <v>19</v>
      </c>
      <c r="U18" s="99">
        <f t="shared" si="3"/>
        <v>36</v>
      </c>
      <c r="V18" s="99">
        <f>SUMPRODUCT((جدول_المباريات!I$3:I$384=C18)*(جدول_المباريات!H$3:H$384&lt;&gt;""))</f>
        <v>14</v>
      </c>
      <c r="W18" s="99">
        <f>SUMPRODUCT((جدول_المباريات!I$3:I$384=C18)*(جدول_المباريات!H$3:H$384=""))</f>
        <v>5</v>
      </c>
      <c r="X18" s="102">
        <f>SUMPRODUCT((جدول_المباريات!I$3:I$384=C18)*(جدول_المباريات!H$3:H$384&gt;جدول_المباريات!G$3:G$384))</f>
        <v>5</v>
      </c>
      <c r="Y18" s="99">
        <f>SUMPRODUCT((جدول_المباريات!I$3:I$384=C18)*(جدول_المباريات!H$3:H$384=جدول_المباريات!G$3:G$384)*(جدول_المباريات!H$3:H$384&lt;&gt;""))</f>
        <v>3</v>
      </c>
      <c r="Z18" s="99">
        <f>SUMPRODUCT((جدول_المباريات!I$3:I$384=C18)*(جدول_المباريات!H$3:H$384&lt;جدول_المباريات!G$3:G$384))</f>
        <v>6</v>
      </c>
      <c r="AA18" s="99">
        <f>SUMIF(جدول_المباريات!I$3:I$384,C18,جدول_المباريات!H$3:H$384)</f>
        <v>19</v>
      </c>
      <c r="AB18" s="99">
        <f>SUMIF(جدول_المباريات!I$3:I$384,C18,جدول_المباريات!G$3:G$384)</f>
        <v>21</v>
      </c>
      <c r="AC18" s="99">
        <f t="shared" si="4"/>
        <v>-2</v>
      </c>
      <c r="AD18" s="99">
        <f t="shared" si="5"/>
        <v>18</v>
      </c>
      <c r="AE18" s="99">
        <f t="shared" si="6"/>
        <v>18</v>
      </c>
      <c r="AF18" s="99">
        <f>(L18*1000000)+(AE18*10000)+(I18*1000)+(D18*87)</f>
        <v>54230610</v>
      </c>
      <c r="AG18" s="99">
        <f t="shared" si="7"/>
        <v>4</v>
      </c>
      <c r="AH18" s="100">
        <f>RANK(I18,$I$5:$I$24,0)+COUNTIF($I$5:I18,I18)-1</f>
        <v>3</v>
      </c>
      <c r="AI18" s="100">
        <f>RANK(J18,$J$5:$J$24,1)+COUNTIF($J$5:J18,J18)-1</f>
        <v>3</v>
      </c>
      <c r="AJ18" s="100">
        <f>RANK(F18,$F$5:$F$24,0)+COUNTIF($F$5:F18,F18)-1</f>
        <v>4</v>
      </c>
      <c r="AK18" s="100">
        <f>RANK(G18,$G$5:$G$24,0)+COUNTIF($G$5:G18,G18)-1</f>
        <v>11</v>
      </c>
      <c r="AL18" s="100">
        <f>RANK(H18,$H$5:$H$24,0)+COUNTIF($H$5:H18,H18)-1</f>
        <v>17</v>
      </c>
    </row>
    <row r="19" spans="2:38" s="100" customFormat="1" ht="15">
      <c r="B19" s="98">
        <v>15</v>
      </c>
      <c r="C19" s="98" t="s">
        <v>122</v>
      </c>
      <c r="D19" s="99">
        <f t="shared" si="8"/>
        <v>30</v>
      </c>
      <c r="E19" s="99">
        <f t="shared" si="9"/>
        <v>8</v>
      </c>
      <c r="F19" s="99">
        <f t="shared" si="10"/>
        <v>11</v>
      </c>
      <c r="G19" s="99">
        <f t="shared" si="11"/>
        <v>5</v>
      </c>
      <c r="H19" s="99">
        <f t="shared" si="12"/>
        <v>14</v>
      </c>
      <c r="I19" s="99">
        <f t="shared" si="13"/>
        <v>33</v>
      </c>
      <c r="J19" s="99">
        <f t="shared" si="14"/>
        <v>40</v>
      </c>
      <c r="K19" s="99">
        <f t="shared" si="15"/>
        <v>-7</v>
      </c>
      <c r="L19" s="101">
        <f>U19+AD19-خصم!$H19</f>
        <v>38</v>
      </c>
      <c r="M19" s="102">
        <f>SUMPRODUCT((جدول_المباريات!F$3:F$384=C19)*(جدول_المباريات!G$3:G$384&lt;&gt;""))</f>
        <v>15</v>
      </c>
      <c r="N19" s="99">
        <f>SUMPRODUCT((جدول_المباريات!F$3:F$384=C19)*(جدول_المباريات!G$3:G$384=""))</f>
        <v>4</v>
      </c>
      <c r="O19" s="102">
        <f>SUMPRODUCT((جدول_المباريات!F$3:F$384=C19)*(جدول_المباريات!G$3:G$384&gt;جدول_المباريات!H$3:H$384))</f>
        <v>8</v>
      </c>
      <c r="P19" s="102">
        <f>SUMPRODUCT((جدول_المباريات!F$3:F$384=C19)*(جدول_المباريات!G$3:G$384=جدول_المباريات!H$3:H$384)*(جدول_المباريات!G$3:G$384&lt;&gt;""))</f>
        <v>2</v>
      </c>
      <c r="Q19" s="102">
        <f>SUMPRODUCT((جدول_المباريات!F$3:F$384=C19)*(جدول_المباريات!G$3:G$384&lt;جدول_المباريات!H$3:H$384))</f>
        <v>5</v>
      </c>
      <c r="R19" s="102">
        <f>SUMIF(جدول_المباريات!F$3:F$384,C19,جدول_المباريات!G$3:G$384)</f>
        <v>21</v>
      </c>
      <c r="S19" s="102">
        <f>SUMIF(جدول_المباريات!F$3:F$384,C19,جدول_المباريات!H$3:H$384)</f>
        <v>16</v>
      </c>
      <c r="T19" s="99">
        <f t="shared" si="2"/>
        <v>5</v>
      </c>
      <c r="U19" s="99">
        <f t="shared" si="3"/>
        <v>26</v>
      </c>
      <c r="V19" s="99">
        <f>SUMPRODUCT((جدول_المباريات!I$3:I$384=C19)*(جدول_المباريات!H$3:H$384&lt;&gt;""))</f>
        <v>15</v>
      </c>
      <c r="W19" s="99">
        <f>SUMPRODUCT((جدول_المباريات!I$3:I$384=C19)*(جدول_المباريات!H$3:H$384=""))</f>
        <v>4</v>
      </c>
      <c r="X19" s="102">
        <f>SUMPRODUCT((جدول_المباريات!I$3:I$384=C19)*(جدول_المباريات!H$3:H$384&gt;جدول_المباريات!G$3:G$384))</f>
        <v>3</v>
      </c>
      <c r="Y19" s="99">
        <f>SUMPRODUCT((جدول_المباريات!I$3:I$384=C19)*(جدول_المباريات!H$3:H$384=جدول_المباريات!G$3:G$384)*(جدول_المباريات!H$3:H$384&lt;&gt;""))</f>
        <v>3</v>
      </c>
      <c r="Z19" s="99">
        <f>SUMPRODUCT((جدول_المباريات!I$3:I$384=C19)*(جدول_المباريات!H$3:H$384&lt;جدول_المباريات!G$3:G$384))</f>
        <v>9</v>
      </c>
      <c r="AA19" s="99">
        <f>SUMIF(جدول_المباريات!I$3:I$384,C19,جدول_المباريات!H$3:H$384)</f>
        <v>12</v>
      </c>
      <c r="AB19" s="99">
        <f>SUMIF(جدول_المباريات!I$3:I$384,C19,جدول_المباريات!G$3:G$384)</f>
        <v>24</v>
      </c>
      <c r="AC19" s="99">
        <f t="shared" si="4"/>
        <v>-12</v>
      </c>
      <c r="AD19" s="99">
        <f t="shared" si="5"/>
        <v>12</v>
      </c>
      <c r="AE19" s="99">
        <f t="shared" si="6"/>
        <v>10</v>
      </c>
      <c r="AF19" s="99">
        <f>(L19*1000000)+(AE19*10000)+(I19*1000)+(D19*86)</f>
        <v>38135580</v>
      </c>
      <c r="AG19" s="99">
        <f t="shared" si="7"/>
        <v>9</v>
      </c>
      <c r="AH19" s="100">
        <f>RANK(I19,$I$5:$I$24,0)+COUNTIF($I$5:I19,I19)-1</f>
        <v>13</v>
      </c>
      <c r="AI19" s="100">
        <f>RANK(J19,$J$5:$J$24,1)+COUNTIF($J$5:J19,J19)-1</f>
        <v>9</v>
      </c>
      <c r="AJ19" s="100">
        <f>RANK(F19,$F$5:$F$24,0)+COUNTIF($F$5:F19,F19)-1</f>
        <v>10</v>
      </c>
      <c r="AK19" s="100">
        <f>RANK(G19,$G$5:$G$24,0)+COUNTIF($G$5:G19,G19)-1</f>
        <v>14</v>
      </c>
      <c r="AL19" s="100">
        <f>RANK(H19,$H$5:$H$24,0)+COUNTIF($H$5:H19,H19)-1</f>
        <v>7</v>
      </c>
    </row>
    <row r="20" spans="2:38" s="100" customFormat="1" ht="15">
      <c r="B20" s="98">
        <v>16</v>
      </c>
      <c r="C20" s="98" t="s">
        <v>21</v>
      </c>
      <c r="D20" s="99">
        <f t="shared" si="8"/>
        <v>30</v>
      </c>
      <c r="E20" s="99">
        <f t="shared" si="9"/>
        <v>8</v>
      </c>
      <c r="F20" s="99">
        <f t="shared" si="10"/>
        <v>9</v>
      </c>
      <c r="G20" s="99">
        <f t="shared" si="11"/>
        <v>8</v>
      </c>
      <c r="H20" s="99">
        <f t="shared" si="12"/>
        <v>13</v>
      </c>
      <c r="I20" s="99">
        <f t="shared" si="13"/>
        <v>36</v>
      </c>
      <c r="J20" s="99">
        <f t="shared" si="14"/>
        <v>36</v>
      </c>
      <c r="K20" s="99">
        <f t="shared" si="15"/>
        <v>0</v>
      </c>
      <c r="L20" s="101">
        <f>U20+AD20-خصم!$H20</f>
        <v>35</v>
      </c>
      <c r="M20" s="102">
        <f>SUMPRODUCT((جدول_المباريات!F$3:F$384=C20)*(جدول_المباريات!G$3:G$384&lt;&gt;""))</f>
        <v>15</v>
      </c>
      <c r="N20" s="99">
        <f>SUMPRODUCT((جدول_المباريات!F$3:F$384=C20)*(جدول_المباريات!G$3:G$384=""))</f>
        <v>4</v>
      </c>
      <c r="O20" s="102">
        <f>SUMPRODUCT((جدول_المباريات!F$3:F$384=C20)*(جدول_المباريات!G$3:G$384&gt;جدول_المباريات!H$3:H$384))</f>
        <v>7</v>
      </c>
      <c r="P20" s="102">
        <f>SUMPRODUCT((جدول_المباريات!F$3:F$384=C20)*(جدول_المباريات!G$3:G$384=جدول_المباريات!H$3:H$384)*(جدول_المباريات!G$3:G$384&lt;&gt;""))</f>
        <v>6</v>
      </c>
      <c r="Q20" s="102">
        <f>SUMPRODUCT((جدول_المباريات!F$3:F$384=C20)*(جدول_المباريات!G$3:G$384&lt;جدول_المباريات!H$3:H$384))</f>
        <v>2</v>
      </c>
      <c r="R20" s="102">
        <f>SUMIF(جدول_المباريات!F$3:F$384,C20,جدول_المباريات!G$3:G$384)</f>
        <v>22</v>
      </c>
      <c r="S20" s="102">
        <f>SUMIF(جدول_المباريات!F$3:F$384,C20,جدول_المباريات!H$3:H$384)</f>
        <v>10</v>
      </c>
      <c r="T20" s="99">
        <f t="shared" si="2"/>
        <v>12</v>
      </c>
      <c r="U20" s="99">
        <f t="shared" si="3"/>
        <v>27</v>
      </c>
      <c r="V20" s="99">
        <f>SUMPRODUCT((جدول_المباريات!I$3:I$384=C20)*(جدول_المباريات!H$3:H$384&lt;&gt;""))</f>
        <v>15</v>
      </c>
      <c r="W20" s="99">
        <f>SUMPRODUCT((جدول_المباريات!I$3:I$384=C20)*(جدول_المباريات!H$3:H$384=""))</f>
        <v>4</v>
      </c>
      <c r="X20" s="102">
        <f>SUMPRODUCT((جدول_المباريات!I$3:I$384=C20)*(جدول_المباريات!H$3:H$384&gt;جدول_المباريات!G$3:G$384))</f>
        <v>2</v>
      </c>
      <c r="Y20" s="99">
        <f>SUMPRODUCT((جدول_المباريات!I$3:I$384=C20)*(جدول_المباريات!H$3:H$384=جدول_المباريات!G$3:G$384)*(جدول_المباريات!H$3:H$384&lt;&gt;""))</f>
        <v>2</v>
      </c>
      <c r="Z20" s="99">
        <f>SUMPRODUCT((جدول_المباريات!I$3:I$384=C20)*(جدول_المباريات!H$3:H$384&lt;جدول_المباريات!G$3:G$384))</f>
        <v>11</v>
      </c>
      <c r="AA20" s="99">
        <f>SUMIF(جدول_المباريات!I$3:I$384,C20,جدول_المباريات!H$3:H$384)</f>
        <v>14</v>
      </c>
      <c r="AB20" s="99">
        <f>SUMIF(جدول_المباريات!I$3:I$384,C20,جدول_المباريات!G$3:G$384)</f>
        <v>26</v>
      </c>
      <c r="AC20" s="99">
        <f t="shared" si="4"/>
        <v>-12</v>
      </c>
      <c r="AD20" s="99">
        <f t="shared" si="5"/>
        <v>8</v>
      </c>
      <c r="AE20" s="99">
        <f t="shared" si="6"/>
        <v>13</v>
      </c>
      <c r="AF20" s="99">
        <f>(L20*1000000)+(AE20*10000)+(I20*1000)+(D20*85)</f>
        <v>35168550</v>
      </c>
      <c r="AG20" s="99">
        <f t="shared" si="7"/>
        <v>12</v>
      </c>
      <c r="AH20" s="100">
        <f>RANK(I20,$I$5:$I$24,0)+COUNTIF($I$5:I20,I20)-1</f>
        <v>12</v>
      </c>
      <c r="AI20" s="100">
        <f>RANK(J20,$J$5:$J$24,1)+COUNTIF($J$5:J20,J20)-1</f>
        <v>6</v>
      </c>
      <c r="AJ20" s="100">
        <f>RANK(F20,$F$5:$F$24,0)+COUNTIF($F$5:F20,F20)-1</f>
        <v>13</v>
      </c>
      <c r="AK20" s="100">
        <f>RANK(G20,$G$5:$G$24,0)+COUNTIF($G$5:G20,G20)-1</f>
        <v>6</v>
      </c>
      <c r="AL20" s="100">
        <f>RANK(H20,$H$5:$H$24,0)+COUNTIF($H$5:H20,H20)-1</f>
        <v>11</v>
      </c>
    </row>
    <row r="21" spans="2:38" s="100" customFormat="1" ht="15">
      <c r="B21" s="98">
        <v>17</v>
      </c>
      <c r="C21" s="98" t="s">
        <v>23</v>
      </c>
      <c r="D21" s="99">
        <f t="shared" si="8"/>
        <v>30</v>
      </c>
      <c r="E21" s="99">
        <f t="shared" si="9"/>
        <v>8</v>
      </c>
      <c r="F21" s="99">
        <f t="shared" si="10"/>
        <v>7</v>
      </c>
      <c r="G21" s="99">
        <f t="shared" si="11"/>
        <v>9</v>
      </c>
      <c r="H21" s="99">
        <f t="shared" si="12"/>
        <v>14</v>
      </c>
      <c r="I21" s="99">
        <f t="shared" si="13"/>
        <v>29</v>
      </c>
      <c r="J21" s="99">
        <f t="shared" si="14"/>
        <v>43</v>
      </c>
      <c r="K21" s="99">
        <f t="shared" si="15"/>
        <v>-14</v>
      </c>
      <c r="L21" s="101">
        <f>U21+AD21-خصم!$H21</f>
        <v>30</v>
      </c>
      <c r="M21" s="102">
        <f>SUMPRODUCT((جدول_المباريات!F$3:F$384=C21)*(جدول_المباريات!G$3:G$384&lt;&gt;""))</f>
        <v>15</v>
      </c>
      <c r="N21" s="99">
        <f>SUMPRODUCT((جدول_المباريات!F$3:F$384=C21)*(جدول_المباريات!G$3:G$384=""))</f>
        <v>4</v>
      </c>
      <c r="O21" s="102">
        <f>SUMPRODUCT((جدول_المباريات!F$3:F$384=C21)*(جدول_المباريات!G$3:G$384&gt;جدول_المباريات!H$3:H$384))</f>
        <v>6</v>
      </c>
      <c r="P21" s="102">
        <f>SUMPRODUCT((جدول_المباريات!F$3:F$384=C21)*(جدول_المباريات!G$3:G$384=جدول_المباريات!H$3:H$384)*(جدول_المباريات!G$3:G$384&lt;&gt;""))</f>
        <v>3</v>
      </c>
      <c r="Q21" s="102">
        <f>SUMPRODUCT((جدول_المباريات!F$3:F$384=C21)*(جدول_المباريات!G$3:G$384&lt;جدول_المباريات!H$3:H$384))</f>
        <v>6</v>
      </c>
      <c r="R21" s="102">
        <f>SUMIF(جدول_المباريات!F$3:F$384,C21,جدول_المباريات!G$3:G$384)</f>
        <v>21</v>
      </c>
      <c r="S21" s="102">
        <f>SUMIF(جدول_المباريات!F$3:F$384,C21,جدول_المباريات!H$3:H$384)</f>
        <v>23</v>
      </c>
      <c r="T21" s="99">
        <f t="shared" si="2"/>
        <v>-2</v>
      </c>
      <c r="U21" s="99">
        <f t="shared" si="3"/>
        <v>21</v>
      </c>
      <c r="V21" s="99">
        <f>SUMPRODUCT((جدول_المباريات!I$3:I$384=C21)*(جدول_المباريات!H$3:H$384&lt;&gt;""))</f>
        <v>15</v>
      </c>
      <c r="W21" s="99">
        <f>SUMPRODUCT((جدول_المباريات!I$3:I$384=C21)*(جدول_المباريات!H$3:H$384=""))</f>
        <v>4</v>
      </c>
      <c r="X21" s="102">
        <f>SUMPRODUCT((جدول_المباريات!I$3:I$384=C21)*(جدول_المباريات!H$3:H$384&gt;جدول_المباريات!G$3:G$384))</f>
        <v>1</v>
      </c>
      <c r="Y21" s="99">
        <f>SUMPRODUCT((جدول_المباريات!I$3:I$384=C21)*(جدول_المباريات!H$3:H$384=جدول_المباريات!G$3:G$384)*(جدول_المباريات!H$3:H$384&lt;&gt;""))</f>
        <v>6</v>
      </c>
      <c r="Z21" s="99">
        <f>SUMPRODUCT((جدول_المباريات!I$3:I$384=C21)*(جدول_المباريات!H$3:H$384&lt;جدول_المباريات!G$3:G$384))</f>
        <v>8</v>
      </c>
      <c r="AA21" s="99">
        <f>SUMIF(جدول_المباريات!I$3:I$384,C21,جدول_المباريات!H$3:H$384)</f>
        <v>8</v>
      </c>
      <c r="AB21" s="99">
        <f>SUMIF(جدول_المباريات!I$3:I$384,C21,جدول_المباريات!G$3:G$384)</f>
        <v>20</v>
      </c>
      <c r="AC21" s="99">
        <f t="shared" si="4"/>
        <v>-12</v>
      </c>
      <c r="AD21" s="99">
        <f t="shared" si="5"/>
        <v>9</v>
      </c>
      <c r="AE21" s="99">
        <f t="shared" si="6"/>
        <v>5</v>
      </c>
      <c r="AF21" s="99">
        <f>(L21*1000000)+(AE21*10000)+(I21*1000)+(D21*84)</f>
        <v>30081520</v>
      </c>
      <c r="AG21" s="99">
        <f t="shared" si="7"/>
        <v>17</v>
      </c>
      <c r="AH21" s="100">
        <f>RANK(I21,$I$5:$I$24,0)+COUNTIF($I$5:I21,I21)-1</f>
        <v>17</v>
      </c>
      <c r="AI21" s="100">
        <f>RANK(J21,$J$5:$J$24,1)+COUNTIF($J$5:J21,J21)-1</f>
        <v>13</v>
      </c>
      <c r="AJ21" s="100">
        <f>RANK(F21,$F$5:$F$24,0)+COUNTIF($F$5:F21,F21)-1</f>
        <v>19</v>
      </c>
      <c r="AK21" s="100">
        <f>RANK(G21,$G$5:$G$24,0)+COUNTIF($G$5:G21,G21)-1</f>
        <v>5</v>
      </c>
      <c r="AL21" s="100">
        <f>RANK(H21,$H$5:$H$24,0)+COUNTIF($H$5:H21,H21)-1</f>
        <v>8</v>
      </c>
    </row>
    <row r="22" spans="2:38" s="100" customFormat="1" ht="15">
      <c r="B22" s="98">
        <v>18</v>
      </c>
      <c r="C22" s="98" t="s">
        <v>18</v>
      </c>
      <c r="D22" s="99">
        <f t="shared" si="8"/>
        <v>30</v>
      </c>
      <c r="E22" s="99">
        <f t="shared" si="9"/>
        <v>8</v>
      </c>
      <c r="F22" s="99">
        <f t="shared" si="10"/>
        <v>9</v>
      </c>
      <c r="G22" s="99">
        <f t="shared" si="11"/>
        <v>7</v>
      </c>
      <c r="H22" s="99">
        <f t="shared" si="12"/>
        <v>14</v>
      </c>
      <c r="I22" s="99">
        <f t="shared" si="13"/>
        <v>41</v>
      </c>
      <c r="J22" s="99">
        <f t="shared" si="14"/>
        <v>49</v>
      </c>
      <c r="K22" s="99">
        <f t="shared" si="15"/>
        <v>-8</v>
      </c>
      <c r="L22" s="101">
        <f>U22+AD22-خصم!$H22</f>
        <v>34</v>
      </c>
      <c r="M22" s="102">
        <f>SUMPRODUCT((جدول_المباريات!F$3:F$384=C22)*(جدول_المباريات!G$3:G$384&lt;&gt;""))</f>
        <v>16</v>
      </c>
      <c r="N22" s="99">
        <f>SUMPRODUCT((جدول_المباريات!F$3:F$384=C22)*(جدول_المباريات!G$3:G$384=""))</f>
        <v>3</v>
      </c>
      <c r="O22" s="102">
        <f>SUMPRODUCT((جدول_المباريات!F$3:F$384=C22)*(جدول_المباريات!G$3:G$384&gt;جدول_المباريات!H$3:H$384))</f>
        <v>6</v>
      </c>
      <c r="P22" s="102">
        <f>SUMPRODUCT((جدول_المباريات!F$3:F$384=C22)*(جدول_المباريات!G$3:G$384=جدول_المباريات!H$3:H$384)*(جدول_المباريات!G$3:G$384&lt;&gt;""))</f>
        <v>3</v>
      </c>
      <c r="Q22" s="102">
        <f>SUMPRODUCT((جدول_المباريات!F$3:F$384=C22)*(جدول_المباريات!G$3:G$384&lt;جدول_المباريات!H$3:H$384))</f>
        <v>7</v>
      </c>
      <c r="R22" s="102">
        <f>SUMIF(جدول_المباريات!F$3:F$384,C22,جدول_المباريات!G$3:G$384)</f>
        <v>28</v>
      </c>
      <c r="S22" s="102">
        <f>SUMIF(جدول_المباريات!F$3:F$384,C22,جدول_المباريات!H$3:H$384)</f>
        <v>26</v>
      </c>
      <c r="T22" s="99">
        <f t="shared" si="2"/>
        <v>2</v>
      </c>
      <c r="U22" s="99">
        <f t="shared" si="3"/>
        <v>21</v>
      </c>
      <c r="V22" s="99">
        <f>SUMPRODUCT((جدول_المباريات!I$3:I$384=C22)*(جدول_المباريات!H$3:H$384&lt;&gt;""))</f>
        <v>14</v>
      </c>
      <c r="W22" s="99">
        <f>SUMPRODUCT((جدول_المباريات!I$3:I$384=C22)*(جدول_المباريات!H$3:H$384=""))</f>
        <v>5</v>
      </c>
      <c r="X22" s="102">
        <f>SUMPRODUCT((جدول_المباريات!I$3:I$384=C22)*(جدول_المباريات!H$3:H$384&gt;جدول_المباريات!G$3:G$384))</f>
        <v>3</v>
      </c>
      <c r="Y22" s="99">
        <f>SUMPRODUCT((جدول_المباريات!I$3:I$384=C22)*(جدول_المباريات!H$3:H$384=جدول_المباريات!G$3:G$384)*(جدول_المباريات!H$3:H$384&lt;&gt;""))</f>
        <v>4</v>
      </c>
      <c r="Z22" s="99">
        <f>SUMPRODUCT((جدول_المباريات!I$3:I$384=C22)*(جدول_المباريات!H$3:H$384&lt;جدول_المباريات!G$3:G$384))</f>
        <v>7</v>
      </c>
      <c r="AA22" s="99">
        <f>SUMIF(جدول_المباريات!I$3:I$384,C22,جدول_المباريات!H$3:H$384)</f>
        <v>13</v>
      </c>
      <c r="AB22" s="99">
        <f>SUMIF(جدول_المباريات!I$3:I$384,C22,جدول_المباريات!G$3:G$384)</f>
        <v>23</v>
      </c>
      <c r="AC22" s="99">
        <f t="shared" si="4"/>
        <v>-10</v>
      </c>
      <c r="AD22" s="99">
        <f t="shared" si="5"/>
        <v>13</v>
      </c>
      <c r="AE22" s="99">
        <f t="shared" si="6"/>
        <v>8</v>
      </c>
      <c r="AF22" s="99">
        <f>(L22*1000000)+(AE22*10000)+(I22*1000)+(D22*83)</f>
        <v>34123490</v>
      </c>
      <c r="AG22" s="99">
        <f t="shared" si="7"/>
        <v>15</v>
      </c>
      <c r="AH22" s="100">
        <f>RANK(I22,$I$5:$I$24,0)+COUNTIF($I$5:I22,I22)-1</f>
        <v>8</v>
      </c>
      <c r="AI22" s="100">
        <f>RANK(J22,$J$5:$J$24,1)+COUNTIF($J$5:J22,J22)-1</f>
        <v>18</v>
      </c>
      <c r="AJ22" s="100">
        <f>RANK(F22,$F$5:$F$24,0)+COUNTIF($F$5:F22,F22)-1</f>
        <v>14</v>
      </c>
      <c r="AK22" s="100">
        <f>RANK(G22,$G$5:$G$24,0)+COUNTIF($G$5:G22,G22)-1</f>
        <v>7</v>
      </c>
      <c r="AL22" s="100">
        <f>RANK(H22,$H$5:$H$24,0)+COUNTIF($H$5:H22,H22)-1</f>
        <v>9</v>
      </c>
    </row>
    <row r="23" spans="2:38" s="100" customFormat="1" ht="15">
      <c r="B23" s="98">
        <v>19</v>
      </c>
      <c r="C23" s="98" t="s">
        <v>123</v>
      </c>
      <c r="D23" s="99">
        <f t="shared" si="8"/>
        <v>30</v>
      </c>
      <c r="E23" s="99">
        <f t="shared" si="9"/>
        <v>8</v>
      </c>
      <c r="F23" s="99">
        <f t="shared" si="10"/>
        <v>11</v>
      </c>
      <c r="G23" s="99">
        <f t="shared" si="11"/>
        <v>2</v>
      </c>
      <c r="H23" s="99">
        <f t="shared" si="12"/>
        <v>17</v>
      </c>
      <c r="I23" s="99">
        <f t="shared" si="13"/>
        <v>40</v>
      </c>
      <c r="J23" s="99">
        <f t="shared" si="14"/>
        <v>48</v>
      </c>
      <c r="K23" s="99">
        <f t="shared" si="15"/>
        <v>-8</v>
      </c>
      <c r="L23" s="101">
        <f>U23+AD23-خصم!$H23</f>
        <v>35</v>
      </c>
      <c r="M23" s="102">
        <f>SUMPRODUCT((جدول_المباريات!F$3:F$384=C23)*(جدول_المباريات!G$3:G$384&lt;&gt;""))</f>
        <v>15</v>
      </c>
      <c r="N23" s="99">
        <f>SUMPRODUCT((جدول_المباريات!F$3:F$384=C23)*(جدول_المباريات!G$3:G$384=""))</f>
        <v>4</v>
      </c>
      <c r="O23" s="102">
        <f>SUMPRODUCT((جدول_المباريات!F$3:F$384=C23)*(جدول_المباريات!G$3:G$384&gt;جدول_المباريات!H$3:H$384))</f>
        <v>8</v>
      </c>
      <c r="P23" s="102">
        <f>SUMPRODUCT((جدول_المباريات!F$3:F$384=C23)*(جدول_المباريات!G$3:G$384=جدول_المباريات!H$3:H$384)*(جدول_المباريات!G$3:G$384&lt;&gt;""))</f>
        <v>1</v>
      </c>
      <c r="Q23" s="102">
        <f>SUMPRODUCT((جدول_المباريات!F$3:F$384=C23)*(جدول_المباريات!G$3:G$384&lt;جدول_المباريات!H$3:H$384))</f>
        <v>6</v>
      </c>
      <c r="R23" s="102">
        <f>SUMIF(جدول_المباريات!F$3:F$384,C23,جدول_المباريات!G$3:G$384)</f>
        <v>20</v>
      </c>
      <c r="S23" s="102">
        <f>SUMIF(جدول_المباريات!F$3:F$384,C23,جدول_المباريات!H$3:H$384)</f>
        <v>17</v>
      </c>
      <c r="T23" s="99">
        <f t="shared" si="2"/>
        <v>3</v>
      </c>
      <c r="U23" s="99">
        <f t="shared" si="3"/>
        <v>25</v>
      </c>
      <c r="V23" s="99">
        <f>SUMPRODUCT((جدول_المباريات!I$3:I$384=C23)*(جدول_المباريات!H$3:H$384&lt;&gt;""))</f>
        <v>15</v>
      </c>
      <c r="W23" s="99">
        <f>SUMPRODUCT((جدول_المباريات!I$3:I$384=C23)*(جدول_المباريات!H$3:H$384=""))</f>
        <v>4</v>
      </c>
      <c r="X23" s="102">
        <f>SUMPRODUCT((جدول_المباريات!I$3:I$384=C23)*(جدول_المباريات!H$3:H$384&gt;جدول_المباريات!G$3:G$384))</f>
        <v>3</v>
      </c>
      <c r="Y23" s="99">
        <f>SUMPRODUCT((جدول_المباريات!I$3:I$384=C23)*(جدول_المباريات!H$3:H$384=جدول_المباريات!G$3:G$384)*(جدول_المباريات!H$3:H$384&lt;&gt;""))</f>
        <v>1</v>
      </c>
      <c r="Z23" s="99">
        <f>SUMPRODUCT((جدول_المباريات!I$3:I$384=C23)*(جدول_المباريات!H$3:H$384&lt;جدول_المباريات!G$3:G$384))</f>
        <v>11</v>
      </c>
      <c r="AA23" s="99">
        <f>SUMIF(جدول_المباريات!I$3:I$384,C23,جدول_المباريات!H$3:H$384)</f>
        <v>20</v>
      </c>
      <c r="AB23" s="99">
        <f>SUMIF(جدول_المباريات!I$3:I$384,C23,جدول_المباريات!G$3:G$384)</f>
        <v>31</v>
      </c>
      <c r="AC23" s="99">
        <f t="shared" si="4"/>
        <v>-11</v>
      </c>
      <c r="AD23" s="99">
        <f t="shared" si="5"/>
        <v>10</v>
      </c>
      <c r="AE23" s="99">
        <f t="shared" si="6"/>
        <v>8</v>
      </c>
      <c r="AF23" s="99">
        <f>(L23*1000000)+(AE23*10000)+(I23*1000)+(D23*82)</f>
        <v>35122460</v>
      </c>
      <c r="AG23" s="99">
        <f t="shared" si="7"/>
        <v>14</v>
      </c>
      <c r="AH23" s="100">
        <f>RANK(I23,$I$5:$I$24,0)+COUNTIF($I$5:I23,I23)-1</f>
        <v>9</v>
      </c>
      <c r="AI23" s="100">
        <f>RANK(J23,$J$5:$J$24,1)+COUNTIF($J$5:J23,J23)-1</f>
        <v>16</v>
      </c>
      <c r="AJ23" s="100">
        <f>RANK(F23,$F$5:$F$24,0)+COUNTIF($F$5:F23,F23)-1</f>
        <v>11</v>
      </c>
      <c r="AK23" s="100">
        <f>RANK(G23,$G$5:$G$24,0)+COUNTIF($G$5:G23,G23)-1</f>
        <v>19</v>
      </c>
      <c r="AL23" s="100">
        <f>RANK(H23,$H$5:$H$24,0)+COUNTIF($H$5:H23,H23)-1</f>
        <v>2</v>
      </c>
    </row>
    <row r="24" spans="2:38" s="100" customFormat="1" ht="15">
      <c r="B24" s="98">
        <v>20</v>
      </c>
      <c r="C24" s="98" t="s">
        <v>121</v>
      </c>
      <c r="D24" s="99">
        <f t="shared" si="8"/>
        <v>30</v>
      </c>
      <c r="E24" s="99">
        <f t="shared" si="9"/>
        <v>8</v>
      </c>
      <c r="F24" s="99">
        <f t="shared" si="10"/>
        <v>8</v>
      </c>
      <c r="G24" s="99">
        <f t="shared" si="11"/>
        <v>5</v>
      </c>
      <c r="H24" s="99">
        <f t="shared" si="12"/>
        <v>17</v>
      </c>
      <c r="I24" s="99">
        <f t="shared" si="13"/>
        <v>28</v>
      </c>
      <c r="J24" s="99">
        <f t="shared" si="14"/>
        <v>48</v>
      </c>
      <c r="K24" s="99">
        <f t="shared" si="15"/>
        <v>-20</v>
      </c>
      <c r="L24" s="101">
        <f>U24+AD24-خصم!$H24</f>
        <v>29</v>
      </c>
      <c r="M24" s="102">
        <f>SUMPRODUCT((جدول_المباريات!F$3:F$384=C24)*(جدول_المباريات!G$3:G$384&lt;&gt;""))</f>
        <v>14</v>
      </c>
      <c r="N24" s="99">
        <f>SUMPRODUCT((جدول_المباريات!F$3:F$384=C24)*(جدول_المباريات!G$3:G$384=""))</f>
        <v>5</v>
      </c>
      <c r="O24" s="102">
        <f>SUMPRODUCT((جدول_المباريات!F$3:F$384=C24)*(جدول_المباريات!G$3:G$384&gt;جدول_المباريات!H$3:H$384))</f>
        <v>6</v>
      </c>
      <c r="P24" s="102">
        <f>SUMPRODUCT((جدول_المباريات!F$3:F$384=C24)*(جدول_المباريات!G$3:G$384=جدول_المباريات!H$3:H$384)*(جدول_المباريات!G$3:G$384&lt;&gt;""))</f>
        <v>2</v>
      </c>
      <c r="Q24" s="102">
        <f>SUMPRODUCT((جدول_المباريات!F$3:F$384=C24)*(جدول_المباريات!G$3:G$384&lt;جدول_المباريات!H$3:H$384))</f>
        <v>6</v>
      </c>
      <c r="R24" s="102">
        <f>SUMIF(جدول_المباريات!F$3:F$384,C24,جدول_المباريات!G$3:G$384)</f>
        <v>22</v>
      </c>
      <c r="S24" s="102">
        <f>SUMIF(جدول_المباريات!F$3:F$384,C24,جدول_المباريات!H$3:H$384)</f>
        <v>22</v>
      </c>
      <c r="T24" s="99">
        <f t="shared" si="2"/>
        <v>0</v>
      </c>
      <c r="U24" s="99">
        <f t="shared" si="3"/>
        <v>20</v>
      </c>
      <c r="V24" s="99">
        <f>SUMPRODUCT((جدول_المباريات!I$3:I$384=C24)*(جدول_المباريات!H$3:H$384&lt;&gt;""))</f>
        <v>16</v>
      </c>
      <c r="W24" s="99">
        <f>SUMPRODUCT((جدول_المباريات!I$3:I$384=C24)*(جدول_المباريات!H$3:H$384=""))</f>
        <v>3</v>
      </c>
      <c r="X24" s="102">
        <f>SUMPRODUCT((جدول_المباريات!I$3:I$384=C24)*(جدول_المباريات!H$3:H$384&gt;جدول_المباريات!G$3:G$384))</f>
        <v>2</v>
      </c>
      <c r="Y24" s="99">
        <f>SUMPRODUCT((جدول_المباريات!I$3:I$384=C24)*(جدول_المباريات!H$3:H$384=جدول_المباريات!G$3:G$384)*(جدول_المباريات!H$3:H$384&lt;&gt;""))</f>
        <v>3</v>
      </c>
      <c r="Z24" s="99">
        <f>SUMPRODUCT((جدول_المباريات!I$3:I$384=C24)*(جدول_المباريات!H$3:H$384&lt;جدول_المباريات!G$3:G$384))</f>
        <v>11</v>
      </c>
      <c r="AA24" s="99">
        <f>SUMIF(جدول_المباريات!I$3:I$384,C24,جدول_المباريات!H$3:H$384)</f>
        <v>6</v>
      </c>
      <c r="AB24" s="99">
        <f>SUMIF(جدول_المباريات!I$3:I$384,C24,جدول_المباريات!G$3:G$384)</f>
        <v>26</v>
      </c>
      <c r="AC24" s="99">
        <f t="shared" si="4"/>
        <v>-20</v>
      </c>
      <c r="AD24" s="99">
        <f t="shared" si="5"/>
        <v>9</v>
      </c>
      <c r="AE24" s="99">
        <f t="shared" si="6"/>
        <v>2</v>
      </c>
      <c r="AF24" s="99">
        <f>(L24*1000000)+(AE24*10000)+(I24*1000)+(D24*81)</f>
        <v>29050430</v>
      </c>
      <c r="AG24" s="99">
        <f t="shared" si="7"/>
        <v>19</v>
      </c>
      <c r="AH24" s="100">
        <f>RANK(I24,$I$5:$I$24,0)+COUNTIF($I$5:I24,I24)-1</f>
        <v>19</v>
      </c>
      <c r="AI24" s="100">
        <f>RANK(J24,$J$5:$J$24,1)+COUNTIF($J$5:J24,J24)-1</f>
        <v>17</v>
      </c>
      <c r="AJ24" s="100">
        <f>RANK(F24,$F$5:$F$24,0)+COUNTIF($F$5:F24,F24)-1</f>
        <v>18</v>
      </c>
      <c r="AK24" s="100">
        <f>RANK(G24,$G$5:$G$24,0)+COUNTIF($G$5:G24,G24)-1</f>
        <v>15</v>
      </c>
      <c r="AL24" s="100">
        <f>RANK(H24,$H$5:$H$24,0)+COUNTIF($H$5:H24,H24)-1</f>
        <v>3</v>
      </c>
    </row>
    <row r="25" spans="2:38" ht="15">
      <c r="D25" s="140"/>
      <c r="E25" s="140"/>
      <c r="F25" s="140"/>
      <c r="G25" s="140"/>
      <c r="H25" s="140"/>
      <c r="I25" s="140"/>
      <c r="J25" s="140"/>
      <c r="K25" s="140"/>
      <c r="L25" s="140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F25" s="22"/>
      <c r="AG25" s="24">
        <f>SUM(AG5:AG24)</f>
        <v>210</v>
      </c>
      <c r="AH25" s="24">
        <f>SUM(AH4:AH24)</f>
        <v>210</v>
      </c>
      <c r="AI25" s="24">
        <f>SUM(AI4:AI24)</f>
        <v>210</v>
      </c>
      <c r="AJ25" s="24">
        <f>SUM(AJ4:AJ24)</f>
        <v>210</v>
      </c>
      <c r="AK25" s="24">
        <f>SUM(AK4:AK24)</f>
        <v>210</v>
      </c>
      <c r="AL25" s="24">
        <f>SUM(AL4:AL24)</f>
        <v>210</v>
      </c>
    </row>
    <row r="26" spans="2:38">
      <c r="D26" s="140"/>
      <c r="E26" s="140"/>
      <c r="F26" s="140"/>
      <c r="G26" s="140"/>
      <c r="H26" s="140"/>
      <c r="I26" s="140"/>
      <c r="J26" s="140"/>
      <c r="K26" s="140"/>
      <c r="L26" s="140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F26" s="22"/>
      <c r="AG26" s="22"/>
    </row>
    <row r="27" spans="2:38">
      <c r="H27" s="25"/>
    </row>
  </sheetData>
  <mergeCells count="22">
    <mergeCell ref="V3:AD3"/>
    <mergeCell ref="H25:H26"/>
    <mergeCell ref="I25:I26"/>
    <mergeCell ref="J25:J26"/>
    <mergeCell ref="K25:K26"/>
    <mergeCell ref="L25:L26"/>
    <mergeCell ref="V25:AD25"/>
    <mergeCell ref="I3:I4"/>
    <mergeCell ref="J3:J4"/>
    <mergeCell ref="K3:K4"/>
    <mergeCell ref="L3:L4"/>
    <mergeCell ref="M3:U3"/>
    <mergeCell ref="M25:U25"/>
    <mergeCell ref="D25:D26"/>
    <mergeCell ref="E25:E26"/>
    <mergeCell ref="F25:F26"/>
    <mergeCell ref="G25:G26"/>
    <mergeCell ref="D3:D4"/>
    <mergeCell ref="E3:E4"/>
    <mergeCell ref="F3:F4"/>
    <mergeCell ref="G3:G4"/>
    <mergeCell ref="H3:H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R25"/>
  <sheetViews>
    <sheetView showGridLines="0" rightToLeft="1" workbookViewId="0"/>
  </sheetViews>
  <sheetFormatPr defaultRowHeight="12.75"/>
  <cols>
    <col min="1" max="1" width="2.85546875" customWidth="1"/>
    <col min="2" max="2" width="5.85546875" customWidth="1"/>
    <col min="3" max="3" width="14.7109375" customWidth="1"/>
    <col min="4" max="4" width="5.85546875" customWidth="1"/>
    <col min="5" max="5" width="2.7109375" customWidth="1"/>
    <col min="6" max="6" width="5.85546875" customWidth="1"/>
    <col min="7" max="7" width="14.7109375" customWidth="1"/>
    <col min="8" max="8" width="5.85546875" customWidth="1"/>
    <col min="9" max="9" width="2.7109375" customWidth="1"/>
    <col min="10" max="10" width="5.85546875" customWidth="1"/>
    <col min="11" max="11" width="14.7109375" customWidth="1"/>
    <col min="12" max="12" width="5.85546875" customWidth="1"/>
    <col min="13" max="13" width="2.5703125" customWidth="1"/>
    <col min="17" max="17" width="12.140625" customWidth="1"/>
    <col min="18" max="18" width="6.140625" customWidth="1"/>
  </cols>
  <sheetData>
    <row r="1" spans="2:18">
      <c r="B1" s="11"/>
      <c r="C1" s="11"/>
      <c r="D1" s="11"/>
      <c r="E1" s="11"/>
      <c r="F1" s="11"/>
      <c r="G1" s="11"/>
      <c r="H1" s="11"/>
    </row>
    <row r="2" spans="2:18" ht="24" customHeight="1">
      <c r="B2" s="147" t="s">
        <v>120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</row>
    <row r="3" spans="2:18">
      <c r="B3" s="11"/>
      <c r="C3" s="11"/>
      <c r="D3" s="11"/>
      <c r="E3" s="11"/>
      <c r="F3" s="11"/>
      <c r="G3" s="11"/>
      <c r="H3" s="11"/>
      <c r="I3" s="11"/>
    </row>
    <row r="4" spans="2:18" ht="14.25">
      <c r="B4" s="148" t="s">
        <v>80</v>
      </c>
      <c r="C4" s="148"/>
      <c r="E4" s="12"/>
      <c r="F4" s="11"/>
      <c r="G4" s="11"/>
      <c r="H4" s="11"/>
      <c r="I4" s="11"/>
      <c r="K4" s="148" t="s">
        <v>79</v>
      </c>
      <c r="L4" s="148"/>
      <c r="N4" s="142" t="s">
        <v>97</v>
      </c>
      <c r="O4" s="142"/>
      <c r="P4" s="142"/>
      <c r="Q4" s="142"/>
      <c r="R4" s="142"/>
    </row>
    <row r="5" spans="2:18" ht="14.25" customHeight="1">
      <c r="B5" s="80">
        <v>1</v>
      </c>
      <c r="C5" s="81" t="str">
        <f>IF(OR(مساحة_العمل!$AG$25&lt;&gt;210,INDEX(مساحة_العمل!C$5:C$24,MATCH($B5,مساحة_العمل!$AH$5:'مساحة_العمل'!$AH$24,0))=0),"",INDEX(مساحة_العمل!C$5:C$24,MATCH($B5,مساحة_العمل!$AH$5:'مساحة_العمل'!$AH$24,0)))</f>
        <v>برشلونة</v>
      </c>
      <c r="D5" s="82">
        <f>IF(مساحة_العمل!$AI$25&lt;&gt;210,"",INDEX(مساحة_العمل!I$5:I$24,MATCH($B5,مساحة_العمل!$AH$5:'مساحة_العمل'!$AH$24,0)))</f>
        <v>79</v>
      </c>
      <c r="E5" s="12"/>
      <c r="F5" s="11"/>
      <c r="G5" s="11"/>
      <c r="H5" s="11"/>
      <c r="I5" s="12"/>
      <c r="J5" s="80">
        <v>1</v>
      </c>
      <c r="K5" s="81" t="str">
        <f>IF(OR(مساحة_العمل!$AG$25&lt;&gt;210,INDEX(مساحة_العمل!C$5:C$24,MATCH(مساحة_العمل!$C$2,مساحة_العمل!$AH$5:'مساحة_العمل'!$AH$24,0))=0),"",INDEX(مساحة_العمل!C$5:C$24,MATCH(مساحة_العمل!$C$2,مساحة_العمل!$AH$5:'مساحة_العمل'!$AH$24,0)))</f>
        <v>ديبرتيفو لاكرونيا</v>
      </c>
      <c r="L5" s="82">
        <f>IF(مساحة_العمل!$AI$25&lt;&gt;210,"",INDEX(مساحة_العمل!I$5:I$24,MATCH(مساحة_العمل!$C$2,مساحة_العمل!$AH$5:'مساحة_العمل'!$AH$24,0)))</f>
        <v>25</v>
      </c>
      <c r="N5" s="143"/>
      <c r="O5" s="143"/>
      <c r="P5" s="143"/>
      <c r="Q5" s="143"/>
      <c r="R5" s="143"/>
    </row>
    <row r="6" spans="2:18" ht="14.25" customHeight="1">
      <c r="B6" s="80">
        <v>2</v>
      </c>
      <c r="C6" s="81" t="str">
        <f>IF(OR(مساحة_العمل!$AG$25&lt;&gt;210,INDEX(مساحة_العمل!C$5:C$24,MATCH($B6,مساحة_العمل!$AH$5:'مساحة_العمل'!$AH$24,0))=0),"",INDEX(مساحة_العمل!C$5:C$24,MATCH($B6,مساحة_العمل!$AH$5:'مساحة_العمل'!$AH$24,0)))</f>
        <v>ريال مدريد</v>
      </c>
      <c r="D6" s="82">
        <f>IF(مساحة_العمل!$AI$25&lt;&gt;210,"",INDEX(مساحة_العمل!I$5:I$24,MATCH($B6,مساحة_العمل!$AH$5:'مساحة_العمل'!$AH$24,0)))</f>
        <v>69</v>
      </c>
      <c r="E6" s="12"/>
      <c r="F6" s="11"/>
      <c r="G6" s="11"/>
      <c r="H6" s="11"/>
      <c r="I6" s="12"/>
      <c r="J6" s="80">
        <v>2</v>
      </c>
      <c r="K6" s="81" t="str">
        <f>IF(OR(مساحة_العمل!$AG$25&lt;&gt;210,INDEX(مساحة_العمل!C$5:C$24,MATCH(مساحة_العمل!$C$2-1,مساحة_العمل!$AH$5:'مساحة_العمل'!$AH$24,0))=0),"",INDEX(مساحة_العمل!C$5:C$24,MATCH(مساحة_العمل!$C$2-1,مساحة_العمل!$AH$5:'مساحة_العمل'!$AH$24,0)))</f>
        <v>هيركوليس</v>
      </c>
      <c r="L6" s="82">
        <f>IF(مساحة_العمل!$AI$25&lt;&gt;210,"",INDEX(مساحة_العمل!I$5:I$24,MATCH(مساحة_العمل!$C$2-1,مساحة_العمل!$AH$5:'مساحة_العمل'!$AH$24,0)))</f>
        <v>28</v>
      </c>
      <c r="N6" s="145" t="s">
        <v>98</v>
      </c>
      <c r="O6" s="145"/>
      <c r="P6" s="145"/>
      <c r="Q6" s="145"/>
      <c r="R6" s="84">
        <f>SUMPRODUCT(--(جدول_المباريات!G$3:G$192=0),--(جدول_المباريات!H$3:H$192=0),--(جدول_المباريات!G$3:G$192&lt;&gt;""),--(جدول_المباريات!H$3:H$192&lt;&gt;""))</f>
        <v>13</v>
      </c>
    </row>
    <row r="7" spans="2:18" ht="14.25" customHeight="1">
      <c r="B7" s="80">
        <v>3</v>
      </c>
      <c r="C7" s="81" t="str">
        <f>IF(OR(مساحة_العمل!$AG$25&lt;&gt;210,INDEX(مساحة_العمل!C$5:C$24,MATCH($B7,مساحة_العمل!$AH$5:'مساحة_العمل'!$AH$24,0))=0),"",INDEX(مساحة_العمل!C$5:C$24,MATCH($B7,مساحة_العمل!$AH$5:'مساحة_العمل'!$AH$24,0)))</f>
        <v>فياريال</v>
      </c>
      <c r="D7" s="82">
        <f>IF(مساحة_العمل!$AI$25&lt;&gt;210,"",INDEX(مساحة_العمل!I$5:I$24,MATCH($B7,مساحة_العمل!$AH$5:'مساحة_العمل'!$AH$24,0)))</f>
        <v>48</v>
      </c>
      <c r="E7" s="12"/>
      <c r="F7" s="11"/>
      <c r="G7" s="11"/>
      <c r="H7" s="11"/>
      <c r="I7" s="12"/>
      <c r="J7" s="80">
        <v>3</v>
      </c>
      <c r="K7" s="81" t="str">
        <f>IF(OR(مساحة_العمل!$AG$25&lt;&gt;210,INDEX(مساحة_العمل!C$5:C$24,MATCH(مساحة_العمل!$C$2-2,مساحة_العمل!$AH$5:'مساحة_العمل'!$AH$24,0))=0),"",INDEX(مساحة_العمل!C$5:C$24,MATCH(مساحة_العمل!$C$2-2,مساحة_العمل!$AH$5:'مساحة_العمل'!$AH$24,0)))</f>
        <v>خيخون</v>
      </c>
      <c r="L7" s="82">
        <f>IF(مساحة_العمل!$AI$25&lt;&gt;210,"",INDEX(مساحة_العمل!I$5:I$24,MATCH(مساحة_العمل!$C$2-2,مساحة_العمل!$AH$5:'مساحة_العمل'!$AH$24,0)))</f>
        <v>28</v>
      </c>
      <c r="N7" s="145" t="s">
        <v>99</v>
      </c>
      <c r="O7" s="145"/>
      <c r="P7" s="145"/>
      <c r="Q7" s="145"/>
      <c r="R7" s="84">
        <f>SUMPRODUCT(--(جدول_المباريات!G$195:G$384=0),--(جدول_المباريات!H$195:H$384=0),--(جدول_المباريات!G$195:G$384&lt;&gt;""),--(جدول_المباريات!H$195:H$384&lt;&gt;""))</f>
        <v>6</v>
      </c>
    </row>
    <row r="8" spans="2:18" ht="14.25" customHeight="1" thickBot="1">
      <c r="B8" s="80">
        <v>4</v>
      </c>
      <c r="C8" s="81" t="str">
        <f>IF(OR(مساحة_العمل!$AG$25&lt;&gt;210,INDEX(مساحة_العمل!C$5:C$24,MATCH($B8,مساحة_العمل!$AH$5:'مساحة_العمل'!$AH$24,0))=0),"",INDEX(مساحة_العمل!C$5:C$24,MATCH($B8,مساحة_العمل!$AH$5:'مساحة_العمل'!$AH$24,0)))</f>
        <v>اتلتيك بلباو</v>
      </c>
      <c r="D8" s="82">
        <f>IF(مساحة_العمل!$AI$25&lt;&gt;210,"",INDEX(مساحة_العمل!I$5:I$24,MATCH($B8,مساحة_العمل!$AH$5:'مساحة_العمل'!$AH$24,0)))</f>
        <v>47</v>
      </c>
      <c r="E8" s="12"/>
      <c r="F8" s="11"/>
      <c r="G8" s="11"/>
      <c r="H8" s="11"/>
      <c r="I8" s="12"/>
      <c r="J8" s="80">
        <v>4</v>
      </c>
      <c r="K8" s="81" t="str">
        <f>IF(OR(مساحة_العمل!$AG$25&lt;&gt;210,INDEX(مساحة_العمل!C$5:C$24,MATCH(مساحة_العمل!$C$2-3,مساحة_العمل!$AH$5:'مساحة_العمل'!$AH$24,0))=0),"",INDEX(مساحة_العمل!C$5:C$24,MATCH(مساحة_العمل!$C$2-3,مساحة_العمل!$AH$5:'مساحة_العمل'!$AH$24,0)))</f>
        <v>ريال سرقسطة</v>
      </c>
      <c r="L8" s="82">
        <f>IF(مساحة_العمل!$AI$25&lt;&gt;210,"",INDEX(مساحة_العمل!I$5:I$24,MATCH(مساحة_العمل!$C$2-3,مساحة_العمل!$AH$5:'مساحة_العمل'!$AH$24,0)))</f>
        <v>29</v>
      </c>
      <c r="N8" s="146" t="s">
        <v>100</v>
      </c>
      <c r="O8" s="146"/>
      <c r="P8" s="146"/>
      <c r="Q8" s="146"/>
      <c r="R8" s="85">
        <f>SUM(R6:R7)</f>
        <v>19</v>
      </c>
    </row>
    <row r="9" spans="2:18" ht="14.25" customHeight="1">
      <c r="B9" s="80">
        <v>5</v>
      </c>
      <c r="C9" s="81" t="str">
        <f>IF(OR(مساحة_العمل!$AG$25&lt;&gt;210,INDEX(مساحة_العمل!C$5:C$24,MATCH($B9,مساحة_العمل!$AH$5:'مساحة_العمل'!$AH$24,0))=0),"",INDEX(مساحة_العمل!C$5:C$24,MATCH($B9,مساحة_العمل!$AH$5:'مساحة_العمل'!$AH$24,0)))</f>
        <v>فالنسيا</v>
      </c>
      <c r="D9" s="82">
        <f>IF(مساحة_العمل!$AI$25&lt;&gt;210,"",INDEX(مساحة_العمل!I$5:I$24,MATCH($B9,مساحة_العمل!$AH$5:'مساحة_العمل'!$AH$24,0)))</f>
        <v>46</v>
      </c>
      <c r="E9" s="12"/>
      <c r="F9" s="11"/>
      <c r="G9" s="11"/>
      <c r="H9" s="11"/>
      <c r="I9" s="12"/>
      <c r="J9" s="80">
        <v>5</v>
      </c>
      <c r="K9" s="81" t="str">
        <f>IF(OR(مساحة_العمل!$AG$25&lt;&gt;210,INDEX(مساحة_العمل!C$5:C$24,MATCH(مساحة_العمل!$C$2-4,مساحة_العمل!$AH$5:'مساحة_العمل'!$AH$24,0))=0),"",INDEX(مساحة_العمل!C$5:C$24,MATCH(مساحة_العمل!$C$2-4,مساحة_العمل!$AH$5:'مساحة_العمل'!$AH$24,0)))</f>
        <v>رايسنغ سانتاندر</v>
      </c>
      <c r="L9" s="82">
        <f>IF(مساحة_العمل!$AI$25&lt;&gt;210,"",INDEX(مساحة_العمل!I$5:I$24,MATCH(مساحة_العمل!$C$2-4,مساحة_العمل!$AH$5:'مساحة_العمل'!$AH$24,0)))</f>
        <v>30</v>
      </c>
      <c r="N9" s="144" t="s">
        <v>101</v>
      </c>
      <c r="O9" s="144"/>
      <c r="P9" s="144"/>
      <c r="Q9" s="144"/>
      <c r="R9" s="86">
        <f>SUMPRODUCT(--(جدول_المباريات!G$3:G$192=جدول_المباريات!H$3:H$192),--(جدول_المباريات!G$3:G$192&lt;&gt;0),--(جدول_المباريات!H$3:H$192&lt;&gt;0))</f>
        <v>24</v>
      </c>
    </row>
    <row r="10" spans="2:18" ht="14.25" customHeight="1">
      <c r="B10" s="12"/>
      <c r="C10" s="12"/>
      <c r="D10" s="12"/>
      <c r="E10" s="12"/>
      <c r="F10" s="12"/>
      <c r="G10" s="12"/>
      <c r="H10" s="12"/>
      <c r="I10" s="12"/>
      <c r="J10" s="13"/>
      <c r="K10" s="13"/>
      <c r="L10" s="13"/>
      <c r="M10" s="13"/>
      <c r="N10" s="145" t="s">
        <v>102</v>
      </c>
      <c r="O10" s="145"/>
      <c r="P10" s="145"/>
      <c r="Q10" s="145"/>
      <c r="R10" s="84">
        <f>SUMPRODUCT(--(جدول_المباريات!G$195:G$384=جدول_المباريات!H$195:H$384),--(جدول_المباريات!G$195:G$384&lt;&gt;0),--(جدول_المباريات!H$195:H$384&lt;&gt;0))</f>
        <v>18</v>
      </c>
    </row>
    <row r="11" spans="2:18" ht="14.25" customHeight="1" thickBot="1">
      <c r="B11" s="12"/>
      <c r="C11" s="12"/>
      <c r="D11" s="12"/>
      <c r="E11" s="12"/>
      <c r="F11" s="12"/>
      <c r="G11" s="12"/>
      <c r="H11" s="12"/>
      <c r="I11" s="12"/>
      <c r="J11" s="2"/>
      <c r="K11" s="13"/>
      <c r="L11" s="13"/>
      <c r="M11" s="13"/>
      <c r="N11" s="146" t="s">
        <v>103</v>
      </c>
      <c r="O11" s="146"/>
      <c r="P11" s="146"/>
      <c r="Q11" s="146"/>
      <c r="R11" s="85">
        <f>SUM(R9:R10)</f>
        <v>42</v>
      </c>
    </row>
    <row r="12" spans="2:18" ht="14.25" customHeight="1">
      <c r="B12" s="149" t="s">
        <v>84</v>
      </c>
      <c r="C12" s="149"/>
      <c r="E12" s="12"/>
      <c r="G12" s="87" t="s">
        <v>82</v>
      </c>
      <c r="I12" s="11"/>
      <c r="K12" s="149" t="s">
        <v>83</v>
      </c>
      <c r="L12" s="149"/>
      <c r="N12" s="144" t="s">
        <v>104</v>
      </c>
      <c r="O12" s="144"/>
      <c r="P12" s="144"/>
      <c r="Q12" s="144"/>
      <c r="R12" s="86">
        <f>SUMPRODUCT(--(جدول_المباريات!G$3:G$192&lt;&gt;جدول_المباريات!H$3:H$192),--(جدول_المباريات!G$3:G$192&lt;&gt;""),--(جدول_المباريات!H$3:H$192&lt;&gt;""),--(جدول_المباريات!G$3:G$192&lt;&gt;جدول_المباريات!H$3:H$192))</f>
        <v>153</v>
      </c>
    </row>
    <row r="13" spans="2:18" ht="14.25" customHeight="1">
      <c r="B13" s="88">
        <v>1</v>
      </c>
      <c r="C13" s="83" t="str">
        <f>IF(OR(مساحة_العمل!$AG$25&lt;&gt;210,INDEX(مساحة_العمل!C$5:C$24,MATCH($B13,مساحة_العمل!$AJ$5:'مساحة_العمل'!$AJ$24,0))=0),"",INDEX(مساحة_العمل!C$5:C$24,MATCH($B13,مساحة_العمل!$AJ$5:'مساحة_العمل'!$AJ$24,0)))</f>
        <v>برشلونة</v>
      </c>
      <c r="D13" s="83">
        <f>IF(مساحة_العمل!$AI$25&lt;&gt;210,"",INDEX(مساحة_العمل!F$5:F$24,MATCH($B13,مساحة_العمل!$AJ$5:'مساحة_العمل'!$AJ$24,0)))</f>
        <v>26</v>
      </c>
      <c r="E13" s="12"/>
      <c r="F13" s="88">
        <v>1</v>
      </c>
      <c r="G13" s="83" t="str">
        <f>IF(OR(مساحة_العمل!$AG$25&lt;&gt;210,INDEX(مساحة_العمل!C$5:C$24,MATCH($F13,مساحة_العمل!$AK$5:'مساحة_العمل'!$AK$24,0))=0),"",INDEX(مساحة_العمل!C$5:C$24,MATCH($F13,مساحة_العمل!$AK$5:'مساحة_العمل'!$AK$24,0)))</f>
        <v>الميريا</v>
      </c>
      <c r="H13" s="83">
        <f>IF(مساحة_العمل!$AI$25&lt;&gt;210,"",INDEX(مساحة_العمل!G$5:G$24,MATCH($F13,مساحة_العمل!$AK$5:'مساحة_العمل'!$AK$24,0)))</f>
        <v>11</v>
      </c>
      <c r="I13" s="11"/>
      <c r="J13" s="88">
        <v>1</v>
      </c>
      <c r="K13" s="83" t="str">
        <f>IF(OR(مساحة_العمل!$AG$25&lt;&gt;210,INDEX(مساحة_العمل!C$5:C$24,MATCH($J13,مساحة_العمل!$AL$5:'مساحة_العمل'!$AL$24,0))=0),"",INDEX(مساحة_العمل!C$5:C$24,MATCH($J13,مساحة_العمل!$AL$5:'مساحة_العمل'!$AL$24,0)))</f>
        <v>ملقا</v>
      </c>
      <c r="L13" s="83">
        <f>IF(مساحة_العمل!$AI$25&lt;&gt;210,"",INDEX(مساحة_العمل!H$5:H$24,MATCH($J13,مساحة_العمل!$AL$5:'مساحة_العمل'!$AL$24,0)))</f>
        <v>17</v>
      </c>
      <c r="N13" s="145" t="s">
        <v>105</v>
      </c>
      <c r="O13" s="145"/>
      <c r="P13" s="145"/>
      <c r="Q13" s="145"/>
      <c r="R13" s="84">
        <f>SUMPRODUCT(--(جدول_المباريات!G$195:G$384&lt;&gt;جدول_المباريات!H$195:H$384),--(جدول_المباريات!G$195:G$384&lt;&gt;""),--(جدول_المباريات!H$195:H$384&lt;&gt;""),--(جدول_المباريات!G$195:G$384&lt;&gt;جدول_المباريات!H$195:H$384))</f>
        <v>86</v>
      </c>
    </row>
    <row r="14" spans="2:18" ht="14.25" customHeight="1" thickBot="1">
      <c r="B14" s="88">
        <v>2</v>
      </c>
      <c r="C14" s="83" t="str">
        <f>IF(OR(مساحة_العمل!$AG$25&lt;&gt;210,INDEX(مساحة_العمل!C$5:C$24,MATCH($B14,مساحة_العمل!$AJ$5:'مساحة_العمل'!$AJ$24,0))=0),"",INDEX(مساحة_العمل!C$5:C$24,MATCH($B14,مساحة_العمل!$AJ$5:'مساحة_العمل'!$AJ$24,0)))</f>
        <v>ريال مدريد</v>
      </c>
      <c r="D14" s="83">
        <f>IF(مساحة_العمل!$AI$25&lt;&gt;210,"",INDEX(مساحة_العمل!F$5:F$24,MATCH($B14,مساحة_العمل!$AJ$5:'مساحة_العمل'!$AJ$24,0)))</f>
        <v>23</v>
      </c>
      <c r="E14" s="12"/>
      <c r="F14" s="88">
        <v>2</v>
      </c>
      <c r="G14" s="83" t="str">
        <f>IF(OR(مساحة_العمل!$AG$25&lt;&gt;210,INDEX(مساحة_العمل!C$5:C$24,MATCH($F14,مساحة_العمل!$AK$5:'مساحة_العمل'!$AK$24,0))=0),"",INDEX(مساحة_العمل!C$5:C$24,MATCH($F14,مساحة_العمل!$AK$5:'مساحة_العمل'!$AK$24,0)))</f>
        <v>خيخون</v>
      </c>
      <c r="H14" s="83">
        <f>IF(مساحة_العمل!$AI$25&lt;&gt;210,"",INDEX(مساحة_العمل!G$5:G$24,MATCH($F14,مساحة_العمل!$AK$5:'مساحة_العمل'!$AK$24,0)))</f>
        <v>11</v>
      </c>
      <c r="I14" s="11"/>
      <c r="J14" s="88">
        <v>2</v>
      </c>
      <c r="K14" s="83" t="str">
        <f>IF(OR(مساحة_العمل!$AG$25&lt;&gt;210,INDEX(مساحة_العمل!C$5:C$24,MATCH($J14,مساحة_العمل!$AL$5:'مساحة_العمل'!$AL$24,0))=0),"",INDEX(مساحة_العمل!C$5:C$24,MATCH($J14,مساحة_العمل!$AL$5:'مساحة_العمل'!$AL$24,0)))</f>
        <v>ريال سوسيداد</v>
      </c>
      <c r="L14" s="83">
        <f>IF(مساحة_العمل!$AI$25&lt;&gt;210,"",INDEX(مساحة_العمل!H$5:H$24,MATCH($J14,مساحة_العمل!$AL$5:'مساحة_العمل'!$AL$24,0)))</f>
        <v>17</v>
      </c>
      <c r="N14" s="146" t="s">
        <v>106</v>
      </c>
      <c r="O14" s="146"/>
      <c r="P14" s="146"/>
      <c r="Q14" s="146"/>
      <c r="R14" s="85">
        <f>SUM(R12:R13)</f>
        <v>239</v>
      </c>
    </row>
    <row r="15" spans="2:18" ht="14.25" customHeight="1">
      <c r="B15" s="88">
        <v>3</v>
      </c>
      <c r="C15" s="83" t="str">
        <f>IF(OR(مساحة_العمل!$AG$25&lt;&gt;210,INDEX(مساحة_العمل!C$5:C$24,MATCH($B15,مساحة_العمل!$AJ$5:'مساحة_العمل'!$AJ$24,0))=0),"",INDEX(مساحة_العمل!C$5:C$24,MATCH($B15,مساحة_العمل!$AJ$5:'مساحة_العمل'!$AJ$24,0)))</f>
        <v>فالنسيا</v>
      </c>
      <c r="D15" s="83">
        <f>IF(مساحة_العمل!$AI$25&lt;&gt;210,"",INDEX(مساحة_العمل!F$5:F$24,MATCH($B15,مساحة_العمل!$AJ$5:'مساحة_العمل'!$AJ$24,0)))</f>
        <v>17</v>
      </c>
      <c r="E15" s="12"/>
      <c r="F15" s="88">
        <v>3</v>
      </c>
      <c r="G15" s="83" t="str">
        <f>IF(OR(مساحة_العمل!$AG$25&lt;&gt;210,INDEX(مساحة_العمل!C$5:C$24,MATCH($F15,مساحة_العمل!$AK$5:'مساحة_العمل'!$AK$24,0))=0),"",INDEX(مساحة_العمل!C$5:C$24,MATCH($F15,مساحة_العمل!$AK$5:'مساحة_العمل'!$AK$24,0)))</f>
        <v>ديبرتيفو لاكرونيا</v>
      </c>
      <c r="H15" s="83">
        <f>IF(مساحة_العمل!$AI$25&lt;&gt;210,"",INDEX(مساحة_العمل!G$5:G$24,MATCH($F15,مساحة_العمل!$AK$5:'مساحة_العمل'!$AK$24,0)))</f>
        <v>10</v>
      </c>
      <c r="I15" s="11"/>
      <c r="J15" s="88">
        <v>3</v>
      </c>
      <c r="K15" s="83" t="str">
        <f>IF(OR(مساحة_العمل!$AG$25&lt;&gt;210,INDEX(مساحة_العمل!C$5:C$24,MATCH($J15,مساحة_العمل!$AL$5:'مساحة_العمل'!$AL$24,0))=0),"",INDEX(مساحة_العمل!C$5:C$24,MATCH($J15,مساحة_العمل!$AL$5:'مساحة_العمل'!$AL$24,0)))</f>
        <v>هيركوليس</v>
      </c>
      <c r="L15" s="83">
        <f>IF(مساحة_العمل!$AI$25&lt;&gt;210,"",INDEX(مساحة_العمل!H$5:H$24,MATCH($J15,مساحة_العمل!$AL$5:'مساحة_العمل'!$AL$24,0)))</f>
        <v>17</v>
      </c>
      <c r="N15" s="144" t="s">
        <v>107</v>
      </c>
      <c r="O15" s="144"/>
      <c r="P15" s="144"/>
      <c r="Q15" s="144"/>
      <c r="R15" s="86">
        <f>SUM(جدول_المباريات!G$3:H$192)</f>
        <v>526</v>
      </c>
    </row>
    <row r="16" spans="2:18" ht="14.25" customHeight="1">
      <c r="B16" s="88">
        <v>4</v>
      </c>
      <c r="C16" s="83" t="str">
        <f>IF(OR(مساحة_العمل!$AG$25&lt;&gt;210,INDEX(مساحة_العمل!C$5:C$24,MATCH($B16,مساحة_العمل!$AJ$5:'مساحة_العمل'!$AJ$24,0))=0),"",INDEX(مساحة_العمل!C$5:C$24,MATCH($B16,مساحة_العمل!$AJ$5:'مساحة_العمل'!$AJ$24,0)))</f>
        <v>فياريال</v>
      </c>
      <c r="D16" s="83">
        <f>IF(مساحة_العمل!$AI$25&lt;&gt;210,"",INDEX(مساحة_العمل!F$5:F$24,MATCH($B16,مساحة_العمل!$AJ$5:'مساحة_العمل'!$AJ$24,0)))</f>
        <v>16</v>
      </c>
      <c r="E16" s="12"/>
      <c r="F16" s="88">
        <v>4</v>
      </c>
      <c r="G16" s="83" t="str">
        <f>IF(OR(مساحة_العمل!$AG$25&lt;&gt;210,INDEX(مساحة_العمل!C$5:C$24,MATCH($F16,مساحة_العمل!$AK$5:'مساحة_العمل'!$AK$24,0))=0),"",INDEX(مساحة_العمل!C$5:C$24,MATCH($F16,مساحة_العمل!$AK$5:'مساحة_العمل'!$AK$24,0)))</f>
        <v>رايسنغ سانتاندر</v>
      </c>
      <c r="H16" s="83">
        <f>IF(مساحة_العمل!$AI$25&lt;&gt;210,"",INDEX(مساحة_العمل!G$5:G$24,MATCH($F16,مساحة_العمل!$AK$5:'مساحة_العمل'!$AK$24,0)))</f>
        <v>9</v>
      </c>
      <c r="I16" s="11"/>
      <c r="J16" s="88">
        <v>4</v>
      </c>
      <c r="K16" s="83" t="str">
        <f>IF(OR(مساحة_العمل!$AG$25&lt;&gt;210,INDEX(مساحة_العمل!C$5:C$24,MATCH($J16,مساحة_العمل!$AL$5:'مساحة_العمل'!$AL$24,0))=0),"",INDEX(مساحة_العمل!C$5:C$24,MATCH($J16,مساحة_العمل!$AL$5:'مساحة_العمل'!$AL$24,0)))</f>
        <v>اسبانيول</v>
      </c>
      <c r="L16" s="83">
        <f>IF(مساحة_العمل!$AI$25&lt;&gt;210,"",INDEX(مساحة_العمل!H$5:H$24,MATCH($J16,مساحة_العمل!$AL$5:'مساحة_العمل'!$AL$24,0)))</f>
        <v>15</v>
      </c>
      <c r="N16" s="145" t="s">
        <v>108</v>
      </c>
      <c r="O16" s="145"/>
      <c r="P16" s="145"/>
      <c r="Q16" s="145"/>
      <c r="R16" s="84">
        <f>SUM(جدول_المباريات!G$195:H$384)</f>
        <v>283</v>
      </c>
    </row>
    <row r="17" spans="2:18" ht="14.25" customHeight="1">
      <c r="B17" s="88">
        <v>5</v>
      </c>
      <c r="C17" s="83" t="str">
        <f>IF(OR(مساحة_العمل!$AG$25&lt;&gt;210,INDEX(مساحة_العمل!C$5:C$24,MATCH($B17,مساحة_العمل!$AJ$5:'مساحة_العمل'!$AJ$24,0))=0),"",INDEX(مساحة_العمل!C$5:C$24,MATCH($B17,مساحة_العمل!$AJ$5:'مساحة_العمل'!$AJ$24,0)))</f>
        <v>اتلتيك بلباو</v>
      </c>
      <c r="D17" s="83">
        <f>IF(مساحة_العمل!$AI$25&lt;&gt;210,"",INDEX(مساحة_العمل!F$5:F$24,MATCH($B17,مساحة_العمل!$AJ$5:'مساحة_العمل'!$AJ$24,0)))</f>
        <v>14</v>
      </c>
      <c r="E17" s="12"/>
      <c r="F17" s="88">
        <v>5</v>
      </c>
      <c r="G17" s="83" t="str">
        <f>IF(OR(مساحة_العمل!$AG$25&lt;&gt;210,INDEX(مساحة_العمل!C$5:C$24,MATCH($F17,مساحة_العمل!$AK$5:'مساحة_العمل'!$AK$24,0))=0),"",INDEX(مساحة_العمل!C$5:C$24,MATCH($F17,مساحة_العمل!$AK$5:'مساحة_العمل'!$AK$24,0)))</f>
        <v>ريال سرقسطة</v>
      </c>
      <c r="H17" s="83">
        <f>IF(مساحة_العمل!$AI$25&lt;&gt;210,"",INDEX(مساحة_العمل!G$5:G$24,MATCH($F17,مساحة_العمل!$AK$5:'مساحة_العمل'!$AK$24,0)))</f>
        <v>9</v>
      </c>
      <c r="I17" s="11"/>
      <c r="J17" s="88">
        <v>5</v>
      </c>
      <c r="K17" s="83" t="str">
        <f>IF(OR(مساحة_العمل!$AG$25&lt;&gt;210,INDEX(مساحة_العمل!C$5:C$24,MATCH($J17,مساحة_العمل!$AL$5:'مساحة_العمل'!$AL$24,0))=0),"",INDEX(مساحة_العمل!C$5:C$24,MATCH($J17,مساحة_العمل!$AL$5:'مساحة_العمل'!$AL$24,0)))</f>
        <v>الميريا</v>
      </c>
      <c r="L17" s="83">
        <f>IF(مساحة_العمل!$AI$25&lt;&gt;210,"",INDEX(مساحة_العمل!H$5:H$24,MATCH($J17,مساحة_العمل!$AL$5:'مساحة_العمل'!$AL$24,0)))</f>
        <v>14</v>
      </c>
      <c r="N17" s="145" t="s">
        <v>109</v>
      </c>
      <c r="O17" s="145"/>
      <c r="P17" s="145"/>
      <c r="Q17" s="145"/>
      <c r="R17" s="84">
        <f>SUM(R15:R16)</f>
        <v>809</v>
      </c>
    </row>
    <row r="18" spans="2:18" ht="14.25" customHeight="1" thickBot="1">
      <c r="B18" s="2"/>
      <c r="C18" s="2"/>
      <c r="D18" s="2"/>
      <c r="E18" s="12"/>
      <c r="F18" s="2"/>
      <c r="G18" s="2"/>
      <c r="H18" s="2"/>
      <c r="I18" s="2"/>
      <c r="J18" s="2"/>
      <c r="N18" s="151" t="s">
        <v>117</v>
      </c>
      <c r="O18" s="151"/>
      <c r="P18" s="151"/>
      <c r="Q18" s="151"/>
      <c r="R18" s="89">
        <f>IF(R21&lt;&gt;0,R17/R21,0)</f>
        <v>2.6966666666666668</v>
      </c>
    </row>
    <row r="19" spans="2:18" ht="14.25" customHeight="1">
      <c r="B19" s="11"/>
      <c r="C19" s="11"/>
      <c r="D19" s="11"/>
      <c r="E19" s="11"/>
      <c r="F19" s="2"/>
      <c r="G19" s="2"/>
      <c r="H19" s="2"/>
      <c r="I19" s="2"/>
      <c r="J19" s="1"/>
      <c r="N19" s="144" t="s">
        <v>110</v>
      </c>
      <c r="O19" s="144"/>
      <c r="P19" s="144"/>
      <c r="Q19" s="144"/>
      <c r="R19" s="86">
        <f>SUMPRODUCT(--(جدول_المباريات!G$3:G$192&lt;&gt;""),--(جدول_المباريات!H$3:H$192&lt;&gt;""))</f>
        <v>190</v>
      </c>
    </row>
    <row r="20" spans="2:18" ht="14.25" customHeight="1">
      <c r="B20" s="148" t="s">
        <v>81</v>
      </c>
      <c r="C20" s="148"/>
      <c r="E20" s="11"/>
      <c r="F20" s="12"/>
      <c r="G20" s="2"/>
      <c r="H20" s="11"/>
      <c r="I20" s="11"/>
      <c r="J20" s="11"/>
      <c r="K20" s="150" t="s">
        <v>78</v>
      </c>
      <c r="L20" s="150"/>
      <c r="N20" s="145" t="s">
        <v>111</v>
      </c>
      <c r="O20" s="145"/>
      <c r="P20" s="145"/>
      <c r="Q20" s="145"/>
      <c r="R20" s="84">
        <f>SUMPRODUCT(--(جدول_المباريات!G$195:G$384&lt;&gt;""),--(جدول_المباريات!H$195:H$384&lt;&gt;""))</f>
        <v>110</v>
      </c>
    </row>
    <row r="21" spans="2:18" ht="14.25" customHeight="1" thickBot="1">
      <c r="B21" s="80">
        <v>1</v>
      </c>
      <c r="C21" s="81" t="str">
        <f>IF(OR(مساحة_العمل!$AG$25&lt;&gt;210,INDEX(مساحة_العمل!C$5:C$24,MATCH($B21,مساحة_العمل!$AI$5:'مساحة_العمل'!$AI$24,0))=0),"",INDEX(مساحة_العمل!C$5:C$24,MATCH($B21,مساحة_العمل!$AI$5:'مساحة_العمل'!$AI$24,0)))</f>
        <v>برشلونة</v>
      </c>
      <c r="D21" s="82">
        <f>IF(مساحة_العمل!$AI$25&lt;&gt;210,"",INDEX(مساحة_العمل!J$5:J$24,MATCH($B21,مساحة_العمل!$AI$5:'مساحة_العمل'!$AI$24,0)))</f>
        <v>15</v>
      </c>
      <c r="E21" s="11"/>
      <c r="F21" s="12"/>
      <c r="G21" s="12"/>
      <c r="H21" s="11"/>
      <c r="I21" s="11"/>
      <c r="J21" s="80">
        <v>1</v>
      </c>
      <c r="K21" s="84" t="str">
        <f>IF(OR(مساحة_العمل!$AG$25&lt;&gt;210,INDEX(مساحة_العمل!C$5:C$24,MATCH(مساحة_العمل!$C$2,مساحة_العمل!$AI$5:'مساحة_العمل'!$AI$24,0))=0),"",INDEX(مساحة_العمل!C$5:C$24,MATCH(مساحة_العمل!$C$2,مساحة_العمل!$AI$5:'مساحة_العمل'!$AI$24,0)))</f>
        <v>ملقا</v>
      </c>
      <c r="L21" s="90">
        <f>IF(مساحة_العمل!$AI$25&lt;&gt;210,"",INDEX(مساحة_العمل!J$5:J$24,MATCH(مساحة_العمل!$C$2,مساحة_العمل!$AI$5:'مساحة_العمل'!$AI$24,0)))</f>
        <v>62</v>
      </c>
      <c r="N21" s="146" t="s">
        <v>112</v>
      </c>
      <c r="O21" s="146"/>
      <c r="P21" s="146"/>
      <c r="Q21" s="146"/>
      <c r="R21" s="85">
        <f>SUM(R19:R20)</f>
        <v>300</v>
      </c>
    </row>
    <row r="22" spans="2:18" ht="14.25" customHeight="1">
      <c r="B22" s="80">
        <v>2</v>
      </c>
      <c r="C22" s="81" t="str">
        <f>IF(OR(مساحة_العمل!$AG$25&lt;&gt;210,INDEX(مساحة_العمل!C$5:C$24,MATCH($B22,مساحة_العمل!$AI$5:'مساحة_العمل'!$AI$24,0))=0),"",INDEX(مساحة_العمل!C$5:C$24,MATCH($B22,مساحة_العمل!$AI$5:'مساحة_العمل'!$AI$24,0)))</f>
        <v>ريال مدريد</v>
      </c>
      <c r="D22" s="82">
        <f>IF(مساحة_العمل!$AI$25&lt;&gt;210,"",INDEX(مساحة_العمل!J$5:J$24,MATCH($B22,مساحة_العمل!$AI$5:'مساحة_العمل'!$AI$24,0)))</f>
        <v>22</v>
      </c>
      <c r="E22" s="11"/>
      <c r="F22" s="12"/>
      <c r="G22" s="12"/>
      <c r="H22" s="11"/>
      <c r="I22" s="11"/>
      <c r="J22" s="80">
        <v>2</v>
      </c>
      <c r="K22" s="81" t="str">
        <f>IF(OR(مساحة_العمل!$AG$25&lt;&gt;210,INDEX(مساحة_العمل!C$5:C$24,MATCH(مساحة_العمل!$C$2-1,مساحة_العمل!$AI$5:'مساحة_العمل'!$AI$24,0))=0),"",INDEX(مساحة_العمل!C$5:C$24,MATCH(مساحة_العمل!$C$2-1,مساحة_العمل!$AI$5:'مساحة_العمل'!$AI$24,0)))</f>
        <v>الميريا</v>
      </c>
      <c r="L22" s="82">
        <f>IF(مساحة_العمل!$AI$25&lt;&gt;210,"",INDEX(مساحة_العمل!J$5:J$24,MATCH(مساحة_العمل!$C$2-1,مساحة_العمل!$AI$5:'مساحة_العمل'!$AI$24,0)))</f>
        <v>51</v>
      </c>
      <c r="N22" s="144" t="s">
        <v>113</v>
      </c>
      <c r="O22" s="144"/>
      <c r="P22" s="144"/>
      <c r="Q22" s="144"/>
      <c r="R22" s="86">
        <f>مساحة_العمل!$D$2-R19</f>
        <v>0</v>
      </c>
    </row>
    <row r="23" spans="2:18" ht="14.25" customHeight="1">
      <c r="B23" s="80">
        <v>3</v>
      </c>
      <c r="C23" s="81" t="str">
        <f>IF(OR(مساحة_العمل!$AG$25&lt;&gt;210,INDEX(مساحة_العمل!C$5:C$24,MATCH($B23,مساحة_العمل!$AI$5:'مساحة_العمل'!$AI$24,0))=0),"",INDEX(مساحة_العمل!C$5:C$24,MATCH($B23,مساحة_العمل!$AI$5:'مساحة_العمل'!$AI$24,0)))</f>
        <v>فياريال</v>
      </c>
      <c r="D23" s="82">
        <f>IF(مساحة_العمل!$AI$25&lt;&gt;210,"",INDEX(مساحة_العمل!J$5:J$24,MATCH($B23,مساحة_العمل!$AI$5:'مساحة_العمل'!$AI$24,0)))</f>
        <v>31</v>
      </c>
      <c r="E23" s="11"/>
      <c r="F23" s="12"/>
      <c r="G23" s="12"/>
      <c r="H23" s="11"/>
      <c r="I23" s="11"/>
      <c r="J23" s="80">
        <v>3</v>
      </c>
      <c r="K23" s="81" t="str">
        <f>IF(OR(مساحة_العمل!$AG$25&lt;&gt;210,INDEX(مساحة_العمل!C$5:C$24,MATCH(مساحة_العمل!$C$2-2,مساحة_العمل!$AI$5:'مساحة_العمل'!$AI$24,0))=0),"",INDEX(مساحة_العمل!C$5:C$24,MATCH(مساحة_العمل!$C$2-2,مساحة_العمل!$AI$5:'مساحة_العمل'!$AI$24,0)))</f>
        <v>خيتافي</v>
      </c>
      <c r="L23" s="82">
        <f>IF(مساحة_العمل!$AI$25&lt;&gt;210,"",INDEX(مساحة_العمل!J$5:J$24,MATCH(مساحة_العمل!$C$2-2,مساحة_العمل!$AI$5:'مساحة_العمل'!$AI$24,0)))</f>
        <v>49</v>
      </c>
      <c r="N23" s="145" t="s">
        <v>114</v>
      </c>
      <c r="O23" s="145"/>
      <c r="P23" s="145"/>
      <c r="Q23" s="145"/>
      <c r="R23" s="84">
        <f>مساحة_العمل!$D$2-R20</f>
        <v>80</v>
      </c>
    </row>
    <row r="24" spans="2:18" ht="14.25" customHeight="1" thickBot="1">
      <c r="B24" s="80">
        <v>4</v>
      </c>
      <c r="C24" s="81" t="str">
        <f>IF(OR(مساحة_العمل!$AG$25&lt;&gt;210,INDEX(مساحة_العمل!C$5:C$24,MATCH($B24,مساحة_العمل!$AI$5:'مساحة_العمل'!$AI$24,0))=0),"",INDEX(مساحة_العمل!C$5:C$24,MATCH($B24,مساحة_العمل!$AI$5:'مساحة_العمل'!$AI$24,0)))</f>
        <v>فالنسيا</v>
      </c>
      <c r="D24" s="82">
        <f>IF(مساحة_العمل!$AI$25&lt;&gt;210,"",INDEX(مساحة_العمل!J$5:J$24,MATCH($B24,مساحة_العمل!$AI$5:'مساحة_العمل'!$AI$24,0)))</f>
        <v>35</v>
      </c>
      <c r="E24" s="11"/>
      <c r="F24" s="12"/>
      <c r="G24" s="12"/>
      <c r="H24" s="11"/>
      <c r="I24" s="11"/>
      <c r="J24" s="80">
        <v>4</v>
      </c>
      <c r="K24" s="81" t="str">
        <f>IF(OR(مساحة_العمل!$AG$25&lt;&gt;210,INDEX(مساحة_العمل!C$5:C$24,MATCH(مساحة_العمل!$C$2-3,مساحة_العمل!$AI$5:'مساحة_العمل'!$AI$24,0))=0),"",INDEX(مساحة_العمل!C$5:C$24,MATCH(مساحة_العمل!$C$2-3,مساحة_العمل!$AI$5:'مساحة_العمل'!$AI$24,0)))</f>
        <v>هيركوليس</v>
      </c>
      <c r="L24" s="82">
        <f>IF(مساحة_العمل!$AI$25&lt;&gt;210,"",INDEX(مساحة_العمل!J$5:J$24,MATCH(مساحة_العمل!$C$2-3,مساحة_العمل!$AI$5:'مساحة_العمل'!$AI$24,0)))</f>
        <v>48</v>
      </c>
      <c r="N24" s="146" t="s">
        <v>115</v>
      </c>
      <c r="O24" s="146"/>
      <c r="P24" s="146"/>
      <c r="Q24" s="146"/>
      <c r="R24" s="85">
        <f>SUM(R22:R23)</f>
        <v>80</v>
      </c>
    </row>
    <row r="25" spans="2:18" ht="14.25" customHeight="1" thickBot="1">
      <c r="B25" s="80">
        <v>5</v>
      </c>
      <c r="C25" s="81" t="str">
        <f>IF(OR(مساحة_العمل!$AG$25&lt;&gt;210,INDEX(مساحة_العمل!C$5:C$24,MATCH($B25,مساحة_العمل!$AI$5:'مساحة_العمل'!$AI$24,0))=0),"",INDEX(مساحة_العمل!C$5:C$24,MATCH($B25,مساحة_العمل!$AI$5:'مساحة_العمل'!$AI$24,0)))</f>
        <v>خيخون</v>
      </c>
      <c r="D25" s="82">
        <f>IF(مساحة_العمل!$AI$25&lt;&gt;210,"",INDEX(مساحة_العمل!J$5:J$24,MATCH($B25,مساحة_العمل!$AI$5:'مساحة_العمل'!$AI$24,0)))</f>
        <v>35</v>
      </c>
      <c r="E25" s="11"/>
      <c r="F25" s="12"/>
      <c r="G25" s="12"/>
      <c r="H25" s="11"/>
      <c r="I25" s="11"/>
      <c r="J25" s="80">
        <v>5</v>
      </c>
      <c r="K25" s="81" t="str">
        <f>IF(OR(مساحة_العمل!$AG$25&lt;&gt;210,INDEX(مساحة_العمل!C$5:C$24,MATCH(مساحة_العمل!$C$2-4,مساحة_العمل!$AI$5:'مساحة_العمل'!$AI$24,0))=0),"",INDEX(مساحة_العمل!C$5:C$24,MATCH(مساحة_العمل!$C$2-4,مساحة_العمل!$AI$5:'مساحة_العمل'!$AI$24,0)))</f>
        <v>ريال سوسيداد</v>
      </c>
      <c r="L25" s="82">
        <f>IF(مساحة_العمل!$AI$25&lt;&gt;210,"",INDEX(مساحة_العمل!J$5:J$24,MATCH(مساحة_العمل!$C$2-4,مساحة_العمل!$AI$5:'مساحة_العمل'!$AI$24,0)))</f>
        <v>48</v>
      </c>
      <c r="N25" s="151" t="s">
        <v>116</v>
      </c>
      <c r="O25" s="151"/>
      <c r="P25" s="151"/>
      <c r="Q25" s="151"/>
      <c r="R25" s="91">
        <f>R21+R24</f>
        <v>380</v>
      </c>
    </row>
  </sheetData>
  <sheetProtection password="F0CA" sheet="1" selectLockedCells="1"/>
  <mergeCells count="28">
    <mergeCell ref="N24:Q24"/>
    <mergeCell ref="N25:Q25"/>
    <mergeCell ref="N19:Q19"/>
    <mergeCell ref="N20:Q20"/>
    <mergeCell ref="N21:Q21"/>
    <mergeCell ref="N22:Q22"/>
    <mergeCell ref="N23:Q23"/>
    <mergeCell ref="B20:C20"/>
    <mergeCell ref="K12:L12"/>
    <mergeCell ref="K20:L20"/>
    <mergeCell ref="N13:Q13"/>
    <mergeCell ref="N14:Q14"/>
    <mergeCell ref="N15:Q15"/>
    <mergeCell ref="N16:Q16"/>
    <mergeCell ref="N17:Q17"/>
    <mergeCell ref="N18:Q18"/>
    <mergeCell ref="B12:C12"/>
    <mergeCell ref="B2:P2"/>
    <mergeCell ref="N6:Q6"/>
    <mergeCell ref="N7:Q7"/>
    <mergeCell ref="N8:Q8"/>
    <mergeCell ref="K4:L4"/>
    <mergeCell ref="B4:C4"/>
    <mergeCell ref="N4:R5"/>
    <mergeCell ref="N9:Q9"/>
    <mergeCell ref="N10:Q10"/>
    <mergeCell ref="N11:Q11"/>
    <mergeCell ref="N12:Q12"/>
  </mergeCells>
  <pageMargins left="0.7" right="0.7" top="0.75" bottom="0.75" header="0.3" footer="0.3"/>
  <pageSetup orientation="portrait" verticalDpi="0" r:id="rId1"/>
  <picture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H24"/>
  <sheetViews>
    <sheetView showGridLines="0" rightToLeft="1" workbookViewId="0">
      <selection activeCell="H5" sqref="H5"/>
    </sheetView>
  </sheetViews>
  <sheetFormatPr defaultRowHeight="12.75"/>
  <cols>
    <col min="7" max="7" width="17.28515625" customWidth="1"/>
    <col min="8" max="8" width="15.140625" customWidth="1"/>
  </cols>
  <sheetData>
    <row r="2" spans="2:8" ht="18.75" customHeight="1">
      <c r="B2" s="21" t="s">
        <v>162</v>
      </c>
    </row>
    <row r="3" spans="2:8" ht="11.25" customHeight="1"/>
    <row r="4" spans="2:8" ht="18">
      <c r="F4" s="94"/>
      <c r="G4" s="92" t="s">
        <v>118</v>
      </c>
      <c r="H4" s="93" t="s">
        <v>119</v>
      </c>
    </row>
    <row r="5" spans="2:8" ht="18">
      <c r="F5" s="95">
        <v>1</v>
      </c>
      <c r="G5" s="96" t="s">
        <v>11</v>
      </c>
      <c r="H5" s="97">
        <v>0</v>
      </c>
    </row>
    <row r="6" spans="2:8" ht="18">
      <c r="F6" s="95">
        <v>2</v>
      </c>
      <c r="G6" s="96" t="s">
        <v>25</v>
      </c>
      <c r="H6" s="97">
        <v>0</v>
      </c>
    </row>
    <row r="7" spans="2:8" ht="18">
      <c r="F7" s="95">
        <v>3</v>
      </c>
      <c r="G7" s="96" t="s">
        <v>15</v>
      </c>
      <c r="H7" s="97">
        <v>0</v>
      </c>
    </row>
    <row r="8" spans="2:8" ht="18">
      <c r="F8" s="95">
        <v>4</v>
      </c>
      <c r="G8" s="96" t="s">
        <v>14</v>
      </c>
      <c r="H8" s="97">
        <v>0</v>
      </c>
    </row>
    <row r="9" spans="2:8" ht="18">
      <c r="F9" s="95">
        <v>5</v>
      </c>
      <c r="G9" s="96" t="s">
        <v>16</v>
      </c>
      <c r="H9" s="97">
        <v>0</v>
      </c>
    </row>
    <row r="10" spans="2:8" ht="18">
      <c r="F10" s="95">
        <v>6</v>
      </c>
      <c r="G10" s="96" t="s">
        <v>19</v>
      </c>
      <c r="H10" s="97">
        <v>0</v>
      </c>
    </row>
    <row r="11" spans="2:8" ht="18">
      <c r="F11" s="95">
        <v>7</v>
      </c>
      <c r="G11" s="96" t="s">
        <v>27</v>
      </c>
      <c r="H11" s="97">
        <v>0</v>
      </c>
    </row>
    <row r="12" spans="2:8" ht="18">
      <c r="F12" s="95">
        <v>8</v>
      </c>
      <c r="G12" s="96" t="s">
        <v>17</v>
      </c>
      <c r="H12" s="97">
        <v>0</v>
      </c>
    </row>
    <row r="13" spans="2:8" ht="18">
      <c r="F13" s="95">
        <v>9</v>
      </c>
      <c r="G13" s="96" t="s">
        <v>26</v>
      </c>
      <c r="H13" s="97">
        <v>0</v>
      </c>
    </row>
    <row r="14" spans="2:8" ht="18">
      <c r="F14" s="95">
        <v>10</v>
      </c>
      <c r="G14" s="96" t="s">
        <v>20</v>
      </c>
      <c r="H14" s="97">
        <v>0</v>
      </c>
    </row>
    <row r="15" spans="2:8" ht="18">
      <c r="F15" s="95">
        <v>11</v>
      </c>
      <c r="G15" s="96" t="s">
        <v>24</v>
      </c>
      <c r="H15" s="97">
        <v>0</v>
      </c>
    </row>
    <row r="16" spans="2:8" ht="18">
      <c r="F16" s="95">
        <v>12</v>
      </c>
      <c r="G16" s="96" t="s">
        <v>13</v>
      </c>
      <c r="H16" s="97">
        <v>0</v>
      </c>
    </row>
    <row r="17" spans="6:8" ht="18">
      <c r="F17" s="95">
        <v>13</v>
      </c>
      <c r="G17" s="96" t="s">
        <v>12</v>
      </c>
      <c r="H17" s="97">
        <v>0</v>
      </c>
    </row>
    <row r="18" spans="6:8" ht="18">
      <c r="F18" s="95">
        <v>14</v>
      </c>
      <c r="G18" s="96" t="s">
        <v>22</v>
      </c>
      <c r="H18" s="97">
        <v>0</v>
      </c>
    </row>
    <row r="19" spans="6:8" ht="18">
      <c r="F19" s="95">
        <v>15</v>
      </c>
      <c r="G19" s="96" t="s">
        <v>122</v>
      </c>
      <c r="H19" s="97">
        <v>0</v>
      </c>
    </row>
    <row r="20" spans="6:8" ht="18">
      <c r="F20" s="95">
        <v>16</v>
      </c>
      <c r="G20" s="96" t="s">
        <v>21</v>
      </c>
      <c r="H20" s="97">
        <v>0</v>
      </c>
    </row>
    <row r="21" spans="6:8" ht="18">
      <c r="F21" s="95">
        <v>17</v>
      </c>
      <c r="G21" s="96" t="s">
        <v>23</v>
      </c>
      <c r="H21" s="97">
        <v>0</v>
      </c>
    </row>
    <row r="22" spans="6:8" ht="18">
      <c r="F22" s="95">
        <v>18</v>
      </c>
      <c r="G22" s="96" t="s">
        <v>18</v>
      </c>
      <c r="H22" s="97">
        <v>0</v>
      </c>
    </row>
    <row r="23" spans="6:8" ht="18">
      <c r="F23" s="95">
        <v>19</v>
      </c>
      <c r="G23" s="96" t="s">
        <v>123</v>
      </c>
      <c r="H23" s="97">
        <v>0</v>
      </c>
    </row>
    <row r="24" spans="6:8" ht="18">
      <c r="F24" s="95">
        <v>20</v>
      </c>
      <c r="G24" s="96" t="s">
        <v>121</v>
      </c>
      <c r="H24" s="97">
        <v>0</v>
      </c>
    </row>
  </sheetData>
  <sheetProtection password="F0CA" sheet="1" selectLockedCells="1"/>
  <dataValidations count="1">
    <dataValidation type="whole" showInputMessage="1" showErrorMessage="1" sqref="H5:H24">
      <formula1>-99</formula1>
      <formula2>99</formula2>
    </dataValidation>
  </dataValidations>
  <pageMargins left="0.7" right="0.7" top="0.75" bottom="0.75" header="0.3" footer="0.3"/>
  <pageSetup orientation="portrait" verticalDpi="0" r:id="rId1"/>
  <picture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C2:K15"/>
  <sheetViews>
    <sheetView showGridLines="0" rightToLeft="1" workbookViewId="0"/>
  </sheetViews>
  <sheetFormatPr defaultRowHeight="12.75"/>
  <cols>
    <col min="4" max="4" width="79.85546875" style="6" customWidth="1"/>
  </cols>
  <sheetData>
    <row r="2" spans="3:11" ht="18">
      <c r="C2" s="4"/>
      <c r="D2" s="5" t="s">
        <v>88</v>
      </c>
      <c r="E2" s="4"/>
      <c r="F2" s="4"/>
      <c r="G2" s="4"/>
      <c r="H2" s="4"/>
      <c r="I2" s="4"/>
      <c r="J2" s="4"/>
      <c r="K2" s="4"/>
    </row>
    <row r="3" spans="3:11" ht="18">
      <c r="C3" s="4"/>
      <c r="D3" s="5" t="s">
        <v>89</v>
      </c>
      <c r="E3" s="4"/>
      <c r="F3" s="4"/>
      <c r="G3" s="4"/>
      <c r="H3" s="4"/>
      <c r="I3" s="4"/>
      <c r="J3" s="4"/>
      <c r="K3" s="4"/>
    </row>
    <row r="4" spans="3:11" ht="40.5" customHeight="1">
      <c r="C4" s="4"/>
      <c r="D4" s="5" t="s">
        <v>68</v>
      </c>
      <c r="E4" s="4"/>
      <c r="F4" s="4"/>
      <c r="G4" s="4"/>
      <c r="H4" s="4"/>
      <c r="I4" s="4"/>
      <c r="J4" s="4"/>
      <c r="K4" s="4"/>
    </row>
    <row r="5" spans="3:11" s="7" customFormat="1" ht="12" customHeight="1">
      <c r="D5" s="8"/>
    </row>
    <row r="6" spans="3:11" ht="24" customHeight="1">
      <c r="C6" s="4"/>
      <c r="D6" s="10" t="s">
        <v>91</v>
      </c>
      <c r="E6" s="4"/>
      <c r="F6" s="4"/>
      <c r="G6" s="4"/>
      <c r="H6" s="4"/>
      <c r="I6" s="4"/>
      <c r="J6" s="4"/>
      <c r="K6" s="4"/>
    </row>
    <row r="7" spans="3:11" s="7" customFormat="1" ht="13.5" customHeight="1">
      <c r="D7" s="8"/>
    </row>
    <row r="8" spans="3:11" ht="23.25">
      <c r="C8" s="4"/>
      <c r="D8" s="10" t="s">
        <v>90</v>
      </c>
      <c r="E8" s="4"/>
      <c r="F8" s="4"/>
      <c r="G8" s="4"/>
      <c r="H8" s="4"/>
      <c r="I8" s="4"/>
      <c r="J8" s="4"/>
      <c r="K8" s="4"/>
    </row>
    <row r="9" spans="3:11" s="7" customFormat="1" ht="11.25" customHeight="1">
      <c r="D9" s="8"/>
    </row>
    <row r="10" spans="3:11" ht="23.25">
      <c r="C10" s="4"/>
      <c r="D10" s="10" t="s">
        <v>92</v>
      </c>
      <c r="E10" s="4"/>
      <c r="F10" s="4"/>
      <c r="G10" s="4"/>
      <c r="H10" s="4"/>
      <c r="I10" s="4"/>
      <c r="J10" s="4"/>
      <c r="K10" s="4"/>
    </row>
    <row r="11" spans="3:11" ht="23.25" customHeight="1">
      <c r="C11" s="4"/>
      <c r="D11" s="5"/>
      <c r="E11" s="4"/>
      <c r="F11" s="4"/>
      <c r="G11" s="4"/>
      <c r="H11" s="4"/>
      <c r="I11" s="4"/>
      <c r="J11" s="4"/>
      <c r="K11" s="4"/>
    </row>
    <row r="12" spans="3:11" ht="18">
      <c r="C12" s="4"/>
      <c r="D12" s="5" t="s">
        <v>164</v>
      </c>
      <c r="E12" s="4"/>
      <c r="F12" s="4"/>
      <c r="G12" s="4"/>
      <c r="H12" s="4"/>
      <c r="I12" s="4"/>
      <c r="J12" s="4"/>
      <c r="K12" s="4"/>
    </row>
    <row r="13" spans="3:11" ht="25.5">
      <c r="C13" s="4"/>
      <c r="D13" s="9" t="s">
        <v>69</v>
      </c>
      <c r="E13" s="4"/>
      <c r="F13" s="4"/>
      <c r="G13" s="4"/>
      <c r="H13" s="4"/>
      <c r="I13" s="4"/>
      <c r="J13" s="4"/>
      <c r="K13" s="4"/>
    </row>
    <row r="14" spans="3:11" ht="18">
      <c r="C14" s="4"/>
      <c r="D14" s="5" t="s">
        <v>93</v>
      </c>
      <c r="E14" s="4"/>
      <c r="F14" s="4"/>
      <c r="G14" s="4"/>
      <c r="H14" s="4"/>
      <c r="I14" s="4"/>
      <c r="J14" s="4"/>
      <c r="K14" s="4"/>
    </row>
    <row r="15" spans="3:11" ht="20.25">
      <c r="C15" s="4"/>
      <c r="D15" s="26" t="s">
        <v>163</v>
      </c>
      <c r="E15" s="4"/>
      <c r="F15" s="4"/>
      <c r="G15" s="4"/>
      <c r="H15" s="4"/>
      <c r="I15" s="4"/>
      <c r="J15" s="4"/>
      <c r="K15" s="4"/>
    </row>
  </sheetData>
  <sheetProtection password="F0CA" sheet="1"/>
  <hyperlinks>
    <hyperlink ref="D13" r:id="rId1"/>
    <hyperlink ref="D8" r:id="rId2" display="منتدى الدوري الاسباني"/>
    <hyperlink ref="D6" r:id="rId3" display="اخبار الدوري الاسباني يومياً"/>
    <hyperlink ref="D10" r:id="rId4"/>
    <hyperlink ref="D15" r:id="rId5"/>
  </hyperlinks>
  <pageMargins left="0.7" right="0.7" top="0.75" bottom="0.75" header="0.3" footer="0.3"/>
  <pageSetup orientation="portrait" verticalDpi="0" r:id="rId6"/>
  <picture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جدول الترتيب</vt:lpstr>
      <vt:lpstr>جدول_المباريات</vt:lpstr>
      <vt:lpstr>مساحة_العمل</vt:lpstr>
      <vt:lpstr>احصائيات</vt:lpstr>
      <vt:lpstr>خصم</vt:lpstr>
      <vt:lpstr>ملاحظات</vt:lpstr>
    </vt:vector>
  </TitlesOfParts>
  <Company>www.hihi2.com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الدوري الاسباني 2010-2011</dc:title>
  <dc:subject>جدول الدوري الاسباني 2010-2011</dc:subject>
  <dc:creator>www.hihi2.com</dc:creator>
  <cp:lastModifiedBy>user</cp:lastModifiedBy>
  <dcterms:created xsi:type="dcterms:W3CDTF">2008-12-27T17:09:42Z</dcterms:created>
  <dcterms:modified xsi:type="dcterms:W3CDTF">2011-04-09T07:17:29Z</dcterms:modified>
</cp:coreProperties>
</file>